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OE UNIT\Q2 2020\"/>
    </mc:Choice>
  </mc:AlternateContent>
  <bookViews>
    <workbookView xWindow="0" yWindow="0" windowWidth="25125" windowHeight="10530" activeTab="1"/>
  </bookViews>
  <sheets>
    <sheet name="Consolidated Income Statement" sheetId="27" r:id="rId1"/>
    <sheet name="Consolidated Financial Position" sheetId="18" r:id="rId2"/>
    <sheet name="AASPA Income Statement" sheetId="16" r:id="rId3"/>
    <sheet name="AASPA Financial Position" sheetId="15" r:id="rId4"/>
    <sheet name="PSPF Income Statement " sheetId="13" r:id="rId5"/>
    <sheet name="PSPF Financial Position" sheetId="19" r:id="rId6"/>
    <sheet name="ADB Income Statement" sheetId="12" r:id="rId7"/>
    <sheet name="ADB Financial Position" sheetId="11" r:id="rId8"/>
    <sheet name="HAA Income Statement" sheetId="10" r:id="rId9"/>
    <sheet name="HAA Financial Position" sheetId="9" r:id="rId10"/>
    <sheet name="ACC Income Statement" sheetId="8" r:id="rId11"/>
    <sheet name="ACC Financial Position" sheetId="7" r:id="rId12"/>
    <sheet name="ATB Income Statement" sheetId="6" r:id="rId13"/>
    <sheet name="ATB Financial Position " sheetId="29" r:id="rId14"/>
    <sheet name="AFSC Income Statement" sheetId="3" r:id="rId15"/>
    <sheet name="AFSC Financial Position" sheetId="4" r:id="rId16"/>
    <sheet name="ANT Income Statement" sheetId="22" r:id="rId17"/>
    <sheet name="ANT Financial Position" sheetId="23" r:id="rId18"/>
    <sheet name="PUC Financial Position" sheetId="24" r:id="rId19"/>
    <sheet name="WCA Income Statement" sheetId="25" r:id="rId20"/>
    <sheet name="WCA Financial Position" sheetId="26" r:id="rId21"/>
  </sheets>
  <definedNames>
    <definedName name="_xlnm.Print_Area" localSheetId="3">'AASPA Financial Position'!$A$1:$F$72</definedName>
    <definedName name="_xlnm.Print_Area" localSheetId="1">'Consolidated Financial Position'!$A$1:$B$72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8" l="1"/>
  <c r="X56" i="10" l="1"/>
  <c r="X48" i="10"/>
  <c r="X43" i="10"/>
  <c r="W48" i="10"/>
  <c r="W47" i="10"/>
  <c r="W40" i="10"/>
  <c r="W13" i="10"/>
  <c r="B23" i="10"/>
  <c r="C23" i="10"/>
  <c r="AA44" i="27"/>
  <c r="AA45" i="27"/>
  <c r="AA46" i="27"/>
  <c r="AA47" i="27"/>
  <c r="AA48" i="27"/>
  <c r="AA49" i="27"/>
  <c r="AA50" i="27"/>
  <c r="AA51" i="27"/>
  <c r="AA52" i="27"/>
  <c r="AA53" i="27"/>
  <c r="AA54" i="27"/>
  <c r="AA55" i="27"/>
  <c r="AA56" i="27"/>
  <c r="AA57" i="27"/>
  <c r="AA58" i="27"/>
  <c r="AA59" i="27"/>
  <c r="AA60" i="27"/>
  <c r="AA61" i="27"/>
  <c r="AA62" i="27"/>
  <c r="AA63" i="27"/>
  <c r="AA64" i="27"/>
  <c r="AA65" i="27"/>
  <c r="AA66" i="27"/>
  <c r="AA67" i="27"/>
  <c r="AA68" i="27"/>
  <c r="AA69" i="27"/>
  <c r="AA70" i="27"/>
  <c r="AA71" i="27"/>
  <c r="AA72" i="27"/>
  <c r="AA73" i="27"/>
  <c r="AA74" i="27"/>
  <c r="AA43" i="27"/>
  <c r="AA33" i="27"/>
  <c r="AA34" i="27"/>
  <c r="AA35" i="27"/>
  <c r="AA36" i="27"/>
  <c r="AA37" i="27"/>
  <c r="AA38" i="27"/>
  <c r="AA39" i="27"/>
  <c r="AA32" i="27"/>
  <c r="G13" i="27"/>
  <c r="AA14" i="27"/>
  <c r="AA15" i="27"/>
  <c r="AA16" i="27"/>
  <c r="AA17" i="27"/>
  <c r="AA18" i="27"/>
  <c r="AA19" i="27"/>
  <c r="AA20" i="27"/>
  <c r="AA21" i="27"/>
  <c r="AA22" i="27"/>
  <c r="AA13" i="27"/>
  <c r="AA73" i="16"/>
  <c r="AA72" i="16"/>
  <c r="AA71" i="16"/>
  <c r="AA70" i="16"/>
  <c r="AC70" i="16" s="1"/>
  <c r="AA69" i="16"/>
  <c r="AA68" i="16"/>
  <c r="AA66" i="16"/>
  <c r="AA65" i="16"/>
  <c r="AA64" i="16"/>
  <c r="AA63" i="16"/>
  <c r="AC63" i="16" s="1"/>
  <c r="AA62" i="16"/>
  <c r="AA60" i="16"/>
  <c r="AA59" i="16"/>
  <c r="AA58" i="16"/>
  <c r="AA57" i="16"/>
  <c r="AA56" i="16"/>
  <c r="AA55" i="16"/>
  <c r="AA54" i="16"/>
  <c r="AA53" i="16"/>
  <c r="AA52" i="16"/>
  <c r="AC52" i="16" s="1"/>
  <c r="AA51" i="16"/>
  <c r="AA50" i="16"/>
  <c r="AA49" i="16"/>
  <c r="AA48" i="16"/>
  <c r="AA47" i="16"/>
  <c r="AA46" i="16"/>
  <c r="AA45" i="16"/>
  <c r="AA44" i="16"/>
  <c r="AA43" i="16"/>
  <c r="AA37" i="16"/>
  <c r="AA36" i="16"/>
  <c r="AA35" i="16"/>
  <c r="AA34" i="16"/>
  <c r="AA33" i="16"/>
  <c r="AA32" i="16"/>
  <c r="AA22" i="16"/>
  <c r="AA21" i="16"/>
  <c r="AA20" i="16"/>
  <c r="AA19" i="16"/>
  <c r="AA18" i="16"/>
  <c r="AA17" i="16"/>
  <c r="AA16" i="16"/>
  <c r="AA15" i="16"/>
  <c r="AA14" i="16"/>
  <c r="AA13" i="16"/>
  <c r="E66" i="18" l="1"/>
  <c r="E70" i="18" s="1"/>
  <c r="E63" i="18"/>
  <c r="E54" i="18"/>
  <c r="E48" i="18"/>
  <c r="E36" i="18"/>
  <c r="E35" i="18"/>
  <c r="E34" i="18"/>
  <c r="E33" i="18"/>
  <c r="E39" i="18" s="1"/>
  <c r="E30" i="18"/>
  <c r="E18" i="18"/>
  <c r="E15" i="18"/>
  <c r="E20" i="18" s="1"/>
  <c r="E43" i="18" s="1"/>
  <c r="B15" i="29"/>
  <c r="C15" i="29"/>
  <c r="D15" i="29"/>
  <c r="B18" i="29"/>
  <c r="C18" i="29"/>
  <c r="D18" i="29"/>
  <c r="B20" i="29"/>
  <c r="F20" i="29"/>
  <c r="B30" i="29"/>
  <c r="C30" i="29"/>
  <c r="D30" i="29"/>
  <c r="F30" i="29"/>
  <c r="B33" i="29"/>
  <c r="C33" i="29"/>
  <c r="D33" i="29"/>
  <c r="B34" i="29"/>
  <c r="D34" i="29"/>
  <c r="B35" i="29"/>
  <c r="D35" i="29"/>
  <c r="B36" i="29"/>
  <c r="D36" i="29"/>
  <c r="C39" i="29"/>
  <c r="F39" i="29"/>
  <c r="F43" i="29"/>
  <c r="B48" i="29"/>
  <c r="C48" i="29"/>
  <c r="D48" i="29"/>
  <c r="B54" i="29"/>
  <c r="D54" i="29"/>
  <c r="B57" i="29"/>
  <c r="C57" i="29"/>
  <c r="D57" i="29"/>
  <c r="F57" i="29"/>
  <c r="B63" i="29"/>
  <c r="C63" i="29"/>
  <c r="D63" i="29"/>
  <c r="F63" i="29"/>
  <c r="B66" i="29"/>
  <c r="B70" i="29" s="1"/>
  <c r="B72" i="29" s="1"/>
  <c r="C66" i="29"/>
  <c r="C70" i="29" s="1"/>
  <c r="C72" i="29" s="1"/>
  <c r="D66" i="29"/>
  <c r="D70" i="29" s="1"/>
  <c r="D72" i="29" s="1"/>
  <c r="F70" i="29"/>
  <c r="F72" i="29"/>
  <c r="D39" i="29" l="1"/>
  <c r="B39" i="29"/>
  <c r="D20" i="29"/>
  <c r="L31" i="29" s="1"/>
  <c r="C20" i="29"/>
  <c r="C43" i="29" s="1"/>
  <c r="E57" i="18"/>
  <c r="E72" i="18"/>
  <c r="B43" i="29"/>
  <c r="D43" i="29"/>
  <c r="H74" i="27"/>
  <c r="G74" i="27"/>
  <c r="G73" i="27"/>
  <c r="H71" i="27"/>
  <c r="G71" i="27"/>
  <c r="I71" i="27" s="1"/>
  <c r="J71" i="27" s="1"/>
  <c r="H70" i="27"/>
  <c r="G70" i="27"/>
  <c r="H69" i="27"/>
  <c r="H68" i="27"/>
  <c r="G68" i="27"/>
  <c r="I68" i="27" s="1"/>
  <c r="J68" i="27" s="1"/>
  <c r="H67" i="27"/>
  <c r="G67" i="27"/>
  <c r="H66" i="27"/>
  <c r="G66" i="27"/>
  <c r="H63" i="27"/>
  <c r="G63" i="27"/>
  <c r="I63" i="27" s="1"/>
  <c r="J63" i="27" s="1"/>
  <c r="H58" i="27"/>
  <c r="H57" i="27"/>
  <c r="G57" i="27"/>
  <c r="H56" i="27"/>
  <c r="H54" i="27"/>
  <c r="G54" i="27"/>
  <c r="H52" i="27"/>
  <c r="G52" i="27"/>
  <c r="H51" i="27"/>
  <c r="G51" i="27"/>
  <c r="I51" i="27" s="1"/>
  <c r="J51" i="27" s="1"/>
  <c r="H50" i="27"/>
  <c r="G50" i="27"/>
  <c r="H49" i="27"/>
  <c r="G49" i="27"/>
  <c r="H47" i="27"/>
  <c r="H46" i="27"/>
  <c r="G46" i="27"/>
  <c r="H45" i="27"/>
  <c r="G45" i="27"/>
  <c r="H44" i="27"/>
  <c r="G44" i="27"/>
  <c r="C74" i="27"/>
  <c r="W74" i="27" s="1"/>
  <c r="B74" i="27"/>
  <c r="C73" i="27"/>
  <c r="B73" i="27"/>
  <c r="C71" i="27"/>
  <c r="B71" i="27"/>
  <c r="V71" i="27" s="1"/>
  <c r="C70" i="27"/>
  <c r="B70" i="27"/>
  <c r="B68" i="27"/>
  <c r="B67" i="27"/>
  <c r="B66" i="27"/>
  <c r="C63" i="27"/>
  <c r="B63" i="27"/>
  <c r="D63" i="27" s="1"/>
  <c r="E63" i="27" s="1"/>
  <c r="C62" i="27"/>
  <c r="C58" i="27"/>
  <c r="C57" i="27"/>
  <c r="B57" i="27"/>
  <c r="C56" i="27"/>
  <c r="C55" i="27"/>
  <c r="C54" i="27"/>
  <c r="B54" i="27"/>
  <c r="C53" i="27"/>
  <c r="B53" i="27"/>
  <c r="C52" i="27"/>
  <c r="B52" i="27"/>
  <c r="V52" i="27" s="1"/>
  <c r="C51" i="27"/>
  <c r="B51" i="27"/>
  <c r="D51" i="27" s="1"/>
  <c r="E51" i="27" s="1"/>
  <c r="C50" i="27"/>
  <c r="B50" i="27"/>
  <c r="C49" i="27"/>
  <c r="B49" i="27"/>
  <c r="C48" i="27"/>
  <c r="B48" i="27"/>
  <c r="D48" i="27" s="1"/>
  <c r="E48" i="27" s="1"/>
  <c r="C47" i="27"/>
  <c r="C45" i="27"/>
  <c r="B45" i="27"/>
  <c r="C44" i="27"/>
  <c r="B44" i="27"/>
  <c r="D44" i="27" s="1"/>
  <c r="E44" i="27" s="1"/>
  <c r="G39" i="27"/>
  <c r="H38" i="27"/>
  <c r="G38" i="27"/>
  <c r="H33" i="27"/>
  <c r="G33" i="27"/>
  <c r="I33" i="27" s="1"/>
  <c r="J33" i="27" s="1"/>
  <c r="B39" i="27"/>
  <c r="C38" i="27"/>
  <c r="B38" i="27"/>
  <c r="C37" i="27"/>
  <c r="C35" i="27"/>
  <c r="C34" i="27"/>
  <c r="C33" i="27"/>
  <c r="B33" i="27"/>
  <c r="V33" i="27" s="1"/>
  <c r="AA42" i="27"/>
  <c r="AA31" i="27"/>
  <c r="AA30" i="27"/>
  <c r="AA29" i="27"/>
  <c r="AA28" i="27"/>
  <c r="S21" i="27"/>
  <c r="T21" i="27" s="1"/>
  <c r="H22" i="27"/>
  <c r="G22" i="27"/>
  <c r="H21" i="27"/>
  <c r="G21" i="27"/>
  <c r="I21" i="27" s="1"/>
  <c r="J21" i="27" s="1"/>
  <c r="H20" i="27"/>
  <c r="G20" i="27"/>
  <c r="I20" i="27" s="1"/>
  <c r="J20" i="27" s="1"/>
  <c r="G19" i="27"/>
  <c r="H18" i="27"/>
  <c r="G18" i="27"/>
  <c r="H16" i="27"/>
  <c r="H15" i="27"/>
  <c r="H14" i="27"/>
  <c r="G14" i="27"/>
  <c r="C13" i="27"/>
  <c r="C14" i="27"/>
  <c r="W14" i="27" s="1"/>
  <c r="C15" i="27"/>
  <c r="C16" i="27"/>
  <c r="C18" i="27"/>
  <c r="C19" i="27"/>
  <c r="C20" i="27"/>
  <c r="C21" i="27"/>
  <c r="C22" i="27"/>
  <c r="B22" i="27"/>
  <c r="B14" i="27"/>
  <c r="B18" i="27"/>
  <c r="B19" i="27"/>
  <c r="D19" i="27" s="1"/>
  <c r="E19" i="27" s="1"/>
  <c r="B20" i="27"/>
  <c r="B21" i="27"/>
  <c r="B13" i="27"/>
  <c r="I71" i="18"/>
  <c r="I68" i="18"/>
  <c r="I67" i="18"/>
  <c r="I66" i="18"/>
  <c r="I65" i="18"/>
  <c r="I64" i="18"/>
  <c r="I62" i="18"/>
  <c r="I59" i="18"/>
  <c r="I58" i="18"/>
  <c r="I55" i="18"/>
  <c r="I54" i="18"/>
  <c r="I53" i="18"/>
  <c r="I52" i="18"/>
  <c r="I51" i="18"/>
  <c r="I50" i="18"/>
  <c r="I49" i="18"/>
  <c r="I48" i="18"/>
  <c r="I47" i="18"/>
  <c r="I46" i="18"/>
  <c r="I45" i="18"/>
  <c r="I44" i="18"/>
  <c r="I42" i="18"/>
  <c r="I40" i="18"/>
  <c r="I37" i="18"/>
  <c r="I36" i="18"/>
  <c r="I35" i="18"/>
  <c r="I34" i="18"/>
  <c r="I32" i="18"/>
  <c r="I31" i="18"/>
  <c r="I29" i="18"/>
  <c r="I28" i="18"/>
  <c r="I27" i="18"/>
  <c r="I26" i="18"/>
  <c r="I25" i="18"/>
  <c r="I24" i="18"/>
  <c r="I23" i="18"/>
  <c r="I22" i="18"/>
  <c r="I21" i="18"/>
  <c r="I19" i="18"/>
  <c r="I18" i="18"/>
  <c r="I17" i="18"/>
  <c r="I16" i="18"/>
  <c r="I15" i="18"/>
  <c r="L70" i="18"/>
  <c r="L63" i="18"/>
  <c r="L57" i="18"/>
  <c r="L39" i="18"/>
  <c r="L30" i="18"/>
  <c r="L20" i="18"/>
  <c r="L43" i="18" s="1"/>
  <c r="G70" i="18"/>
  <c r="G63" i="18"/>
  <c r="G57" i="18"/>
  <c r="G41" i="18"/>
  <c r="I41" i="18" s="1"/>
  <c r="G39" i="18"/>
  <c r="G30" i="18"/>
  <c r="G20" i="18"/>
  <c r="G43" i="18" s="1"/>
  <c r="H20" i="18"/>
  <c r="H30" i="18"/>
  <c r="H39" i="18"/>
  <c r="H43" i="18"/>
  <c r="H57" i="18"/>
  <c r="H63" i="18"/>
  <c r="H70" i="18"/>
  <c r="D70" i="15"/>
  <c r="D39" i="15"/>
  <c r="B70" i="18"/>
  <c r="B39" i="18"/>
  <c r="I14" i="27"/>
  <c r="J14" i="27" s="1"/>
  <c r="I18" i="27"/>
  <c r="J18" i="27" s="1"/>
  <c r="I22" i="27"/>
  <c r="J22" i="27" s="1"/>
  <c r="D18" i="27"/>
  <c r="E18" i="27" s="1"/>
  <c r="W82" i="27"/>
  <c r="V82" i="27"/>
  <c r="AA82" i="27" s="1"/>
  <c r="AB82" i="27" s="1"/>
  <c r="AC82" i="27" s="1"/>
  <c r="S82" i="27"/>
  <c r="T82" i="27" s="1"/>
  <c r="N82" i="27"/>
  <c r="O82" i="27" s="1"/>
  <c r="I82" i="27"/>
  <c r="J82" i="27" s="1"/>
  <c r="D82" i="27"/>
  <c r="E82" i="27" s="1"/>
  <c r="R76" i="27"/>
  <c r="Q76" i="27"/>
  <c r="M76" i="27"/>
  <c r="L76" i="27"/>
  <c r="V74" i="27"/>
  <c r="V73" i="27"/>
  <c r="S73" i="27"/>
  <c r="T73" i="27" s="1"/>
  <c r="N73" i="27"/>
  <c r="O73" i="27" s="1"/>
  <c r="D73" i="27"/>
  <c r="E73" i="27" s="1"/>
  <c r="S72" i="27"/>
  <c r="T72" i="27" s="1"/>
  <c r="N72" i="27"/>
  <c r="O72" i="27" s="1"/>
  <c r="W71" i="27"/>
  <c r="S71" i="27"/>
  <c r="N71" i="27"/>
  <c r="V70" i="27"/>
  <c r="S70" i="27"/>
  <c r="T70" i="27" s="1"/>
  <c r="N70" i="27"/>
  <c r="O70" i="27" s="1"/>
  <c r="S69" i="27"/>
  <c r="T69" i="27" s="1"/>
  <c r="N69" i="27"/>
  <c r="O69" i="27" s="1"/>
  <c r="S68" i="27"/>
  <c r="T68" i="27" s="1"/>
  <c r="N68" i="27"/>
  <c r="O68" i="27" s="1"/>
  <c r="S67" i="27"/>
  <c r="T67" i="27" s="1"/>
  <c r="N67" i="27"/>
  <c r="O67" i="27" s="1"/>
  <c r="I67" i="27"/>
  <c r="J67" i="27" s="1"/>
  <c r="V66" i="27"/>
  <c r="S66" i="27"/>
  <c r="T66" i="27" s="1"/>
  <c r="N66" i="27"/>
  <c r="O66" i="27" s="1"/>
  <c r="S65" i="27"/>
  <c r="T65" i="27" s="1"/>
  <c r="N65" i="27"/>
  <c r="O65" i="27" s="1"/>
  <c r="S64" i="27"/>
  <c r="T64" i="27" s="1"/>
  <c r="N64" i="27"/>
  <c r="O64" i="27" s="1"/>
  <c r="S63" i="27"/>
  <c r="T63" i="27" s="1"/>
  <c r="N63" i="27"/>
  <c r="O63" i="27" s="1"/>
  <c r="S62" i="27"/>
  <c r="T62" i="27" s="1"/>
  <c r="N62" i="27"/>
  <c r="O62" i="27" s="1"/>
  <c r="S61" i="27"/>
  <c r="T61" i="27" s="1"/>
  <c r="N61" i="27"/>
  <c r="O61" i="27" s="1"/>
  <c r="S60" i="27"/>
  <c r="T60" i="27" s="1"/>
  <c r="N60" i="27"/>
  <c r="O60" i="27" s="1"/>
  <c r="S59" i="27"/>
  <c r="T59" i="27" s="1"/>
  <c r="N59" i="27"/>
  <c r="O59" i="27" s="1"/>
  <c r="S58" i="27"/>
  <c r="T58" i="27" s="1"/>
  <c r="N58" i="27"/>
  <c r="O58" i="27" s="1"/>
  <c r="W57" i="27"/>
  <c r="V57" i="27"/>
  <c r="S57" i="27"/>
  <c r="T57" i="27" s="1"/>
  <c r="N57" i="27"/>
  <c r="O57" i="27" s="1"/>
  <c r="I57" i="27"/>
  <c r="J57" i="27" s="1"/>
  <c r="D57" i="27"/>
  <c r="E57" i="27" s="1"/>
  <c r="S56" i="27"/>
  <c r="T56" i="27" s="1"/>
  <c r="N56" i="27"/>
  <c r="O56" i="27" s="1"/>
  <c r="S55" i="27"/>
  <c r="T55" i="27" s="1"/>
  <c r="N55" i="27"/>
  <c r="O55" i="27" s="1"/>
  <c r="V54" i="27"/>
  <c r="S54" i="27"/>
  <c r="T54" i="27" s="1"/>
  <c r="N54" i="27"/>
  <c r="O54" i="27" s="1"/>
  <c r="S53" i="27"/>
  <c r="T53" i="27" s="1"/>
  <c r="N53" i="27"/>
  <c r="O53" i="27" s="1"/>
  <c r="D53" i="27"/>
  <c r="E53" i="27" s="1"/>
  <c r="S52" i="27"/>
  <c r="T52" i="27" s="1"/>
  <c r="N52" i="27"/>
  <c r="O52" i="27" s="1"/>
  <c r="I52" i="27"/>
  <c r="J52" i="27" s="1"/>
  <c r="S51" i="27"/>
  <c r="T51" i="27" s="1"/>
  <c r="N51" i="27"/>
  <c r="O51" i="27" s="1"/>
  <c r="Y50" i="27"/>
  <c r="J50" i="27"/>
  <c r="E50" i="27"/>
  <c r="W49" i="27"/>
  <c r="V49" i="27"/>
  <c r="S49" i="27"/>
  <c r="T49" i="27" s="1"/>
  <c r="N49" i="27"/>
  <c r="O49" i="27" s="1"/>
  <c r="I49" i="27"/>
  <c r="J49" i="27" s="1"/>
  <c r="D49" i="27"/>
  <c r="E49" i="27" s="1"/>
  <c r="S48" i="27"/>
  <c r="T48" i="27" s="1"/>
  <c r="N48" i="27"/>
  <c r="O48" i="27" s="1"/>
  <c r="S47" i="27"/>
  <c r="T47" i="27" s="1"/>
  <c r="N47" i="27"/>
  <c r="O47" i="27" s="1"/>
  <c r="S46" i="27"/>
  <c r="T46" i="27" s="1"/>
  <c r="N46" i="27"/>
  <c r="O46" i="27" s="1"/>
  <c r="W45" i="27"/>
  <c r="V45" i="27"/>
  <c r="S45" i="27"/>
  <c r="T45" i="27" s="1"/>
  <c r="N45" i="27"/>
  <c r="O45" i="27" s="1"/>
  <c r="I45" i="27"/>
  <c r="J45" i="27" s="1"/>
  <c r="D45" i="27"/>
  <c r="E45" i="27" s="1"/>
  <c r="W44" i="27"/>
  <c r="S44" i="27"/>
  <c r="T44" i="27" s="1"/>
  <c r="N44" i="27"/>
  <c r="O44" i="27" s="1"/>
  <c r="I44" i="27"/>
  <c r="J44" i="27" s="1"/>
  <c r="S43" i="27"/>
  <c r="T43" i="27" s="1"/>
  <c r="N43" i="27"/>
  <c r="R40" i="27"/>
  <c r="R78" i="27" s="1"/>
  <c r="Q40" i="27"/>
  <c r="M40" i="27"/>
  <c r="M78" i="27" s="1"/>
  <c r="L40" i="27"/>
  <c r="L78" i="27" s="1"/>
  <c r="V39" i="27"/>
  <c r="S39" i="27"/>
  <c r="T39" i="27" s="1"/>
  <c r="N39" i="27"/>
  <c r="O39" i="27" s="1"/>
  <c r="W38" i="27"/>
  <c r="V38" i="27"/>
  <c r="S38" i="27"/>
  <c r="T38" i="27" s="1"/>
  <c r="N38" i="27"/>
  <c r="O38" i="27" s="1"/>
  <c r="I38" i="27"/>
  <c r="J38" i="27" s="1"/>
  <c r="D38" i="27"/>
  <c r="E38" i="27" s="1"/>
  <c r="S37" i="27"/>
  <c r="T37" i="27" s="1"/>
  <c r="N37" i="27"/>
  <c r="O37" i="27" s="1"/>
  <c r="S36" i="27"/>
  <c r="T36" i="27" s="1"/>
  <c r="N36" i="27"/>
  <c r="O36" i="27" s="1"/>
  <c r="S35" i="27"/>
  <c r="T35" i="27" s="1"/>
  <c r="N35" i="27"/>
  <c r="O35" i="27" s="1"/>
  <c r="S34" i="27"/>
  <c r="T34" i="27" s="1"/>
  <c r="N34" i="27"/>
  <c r="O34" i="27" s="1"/>
  <c r="W33" i="27"/>
  <c r="S33" i="27"/>
  <c r="T33" i="27" s="1"/>
  <c r="N33" i="27"/>
  <c r="O33" i="27" s="1"/>
  <c r="S32" i="27"/>
  <c r="T32" i="27" s="1"/>
  <c r="N32" i="27"/>
  <c r="T26" i="27"/>
  <c r="W25" i="27"/>
  <c r="V25" i="27"/>
  <c r="S25" i="27"/>
  <c r="T25" i="27" s="1"/>
  <c r="N25" i="27"/>
  <c r="O25" i="27" s="1"/>
  <c r="I25" i="27"/>
  <c r="J25" i="27" s="1"/>
  <c r="D25" i="27"/>
  <c r="E25" i="27" s="1"/>
  <c r="T24" i="27"/>
  <c r="R23" i="27"/>
  <c r="R27" i="27" s="1"/>
  <c r="R80" i="27" s="1"/>
  <c r="R84" i="27" s="1"/>
  <c r="M23" i="27"/>
  <c r="M27" i="27" s="1"/>
  <c r="M80" i="27" s="1"/>
  <c r="M84" i="27" s="1"/>
  <c r="L23" i="27"/>
  <c r="L27" i="27" s="1"/>
  <c r="L80" i="27" s="1"/>
  <c r="L84" i="27" s="1"/>
  <c r="S22" i="27"/>
  <c r="T22" i="27" s="1"/>
  <c r="N22" i="27"/>
  <c r="O22" i="27" s="1"/>
  <c r="N21" i="27"/>
  <c r="O21" i="27" s="1"/>
  <c r="S20" i="27"/>
  <c r="T20" i="27" s="1"/>
  <c r="N20" i="27"/>
  <c r="O20" i="27" s="1"/>
  <c r="S19" i="27"/>
  <c r="T19" i="27" s="1"/>
  <c r="N19" i="27"/>
  <c r="O19" i="27" s="1"/>
  <c r="W18" i="27"/>
  <c r="S18" i="27"/>
  <c r="T18" i="27" s="1"/>
  <c r="N18" i="27"/>
  <c r="O18" i="27" s="1"/>
  <c r="S17" i="27"/>
  <c r="T17" i="27" s="1"/>
  <c r="N17" i="27"/>
  <c r="O17" i="27" s="1"/>
  <c r="S16" i="27"/>
  <c r="T16" i="27" s="1"/>
  <c r="N16" i="27"/>
  <c r="O16" i="27" s="1"/>
  <c r="S15" i="27"/>
  <c r="T15" i="27" s="1"/>
  <c r="N15" i="27"/>
  <c r="O15" i="27" s="1"/>
  <c r="S14" i="27"/>
  <c r="T14" i="27" s="1"/>
  <c r="N14" i="27"/>
  <c r="S13" i="27"/>
  <c r="T13" i="27" s="1"/>
  <c r="N13" i="27"/>
  <c r="O13" i="27" s="1"/>
  <c r="B18" i="26"/>
  <c r="B20" i="26" s="1"/>
  <c r="C18" i="26"/>
  <c r="C20" i="26" s="1"/>
  <c r="D18" i="26"/>
  <c r="D20" i="26"/>
  <c r="E20" i="26"/>
  <c r="F20" i="26"/>
  <c r="B30" i="26"/>
  <c r="C30" i="26"/>
  <c r="D30" i="26"/>
  <c r="E30" i="26"/>
  <c r="F30" i="26"/>
  <c r="B33" i="26"/>
  <c r="C33" i="26" s="1"/>
  <c r="B34" i="26"/>
  <c r="C34" i="26"/>
  <c r="D34" i="26" s="1"/>
  <c r="B35" i="26"/>
  <c r="C35" i="26"/>
  <c r="D35" i="26"/>
  <c r="B36" i="26"/>
  <c r="C36" i="26"/>
  <c r="D36" i="26"/>
  <c r="B37" i="26"/>
  <c r="C37" i="26" s="1"/>
  <c r="D37" i="26" s="1"/>
  <c r="B38" i="26"/>
  <c r="C38" i="26"/>
  <c r="D38" i="26"/>
  <c r="E39" i="26"/>
  <c r="F39" i="26"/>
  <c r="E43" i="26"/>
  <c r="F43" i="26"/>
  <c r="C56" i="26"/>
  <c r="C57" i="26" s="1"/>
  <c r="B57" i="26"/>
  <c r="D57" i="26"/>
  <c r="E57" i="26"/>
  <c r="F57" i="26"/>
  <c r="B60" i="26"/>
  <c r="C60" i="26"/>
  <c r="D60" i="26"/>
  <c r="B61" i="26"/>
  <c r="C61" i="26"/>
  <c r="D61" i="26"/>
  <c r="B63" i="26"/>
  <c r="E63" i="26"/>
  <c r="F63" i="26"/>
  <c r="B66" i="26"/>
  <c r="C66" i="26"/>
  <c r="D66" i="26"/>
  <c r="B69" i="26"/>
  <c r="B70" i="26" s="1"/>
  <c r="B72" i="26" s="1"/>
  <c r="C69" i="26"/>
  <c r="D69" i="26"/>
  <c r="C70" i="26"/>
  <c r="E70" i="26"/>
  <c r="F70" i="26"/>
  <c r="F72" i="26"/>
  <c r="D13" i="25"/>
  <c r="E13" i="25" s="1"/>
  <c r="I13" i="25"/>
  <c r="J13" i="25" s="1"/>
  <c r="O13" i="25"/>
  <c r="S13" i="25"/>
  <c r="T13" i="25"/>
  <c r="V13" i="25"/>
  <c r="W13" i="25"/>
  <c r="AB13" i="25" s="1"/>
  <c r="X13" i="25"/>
  <c r="Y13" i="25" s="1"/>
  <c r="D14" i="25"/>
  <c r="E14" i="25" s="1"/>
  <c r="I14" i="25"/>
  <c r="J14" i="25" s="1"/>
  <c r="O14" i="25"/>
  <c r="S14" i="25"/>
  <c r="T14" i="25" s="1"/>
  <c r="V14" i="25"/>
  <c r="W14" i="25"/>
  <c r="AB14" i="25"/>
  <c r="AC14" i="25" s="1"/>
  <c r="D15" i="25"/>
  <c r="E15" i="25" s="1"/>
  <c r="I15" i="25"/>
  <c r="J15" i="25" s="1"/>
  <c r="O15" i="25"/>
  <c r="S15" i="25"/>
  <c r="T15" i="25"/>
  <c r="V15" i="25"/>
  <c r="W15" i="25"/>
  <c r="X15" i="25" s="1"/>
  <c r="Y15" i="25" s="1"/>
  <c r="D16" i="25"/>
  <c r="E16" i="25" s="1"/>
  <c r="I16" i="25"/>
  <c r="J16" i="25" s="1"/>
  <c r="O16" i="25"/>
  <c r="S16" i="25"/>
  <c r="T16" i="25" s="1"/>
  <c r="V16" i="25"/>
  <c r="W16" i="25"/>
  <c r="X16" i="25"/>
  <c r="Y16" i="25" s="1"/>
  <c r="AB16" i="25"/>
  <c r="AC16" i="25" s="1"/>
  <c r="D17" i="25"/>
  <c r="E17" i="25" s="1"/>
  <c r="I17" i="25"/>
  <c r="J17" i="25" s="1"/>
  <c r="O17" i="25"/>
  <c r="S17" i="25"/>
  <c r="T17" i="25" s="1"/>
  <c r="V17" i="25"/>
  <c r="W17" i="25"/>
  <c r="X17" i="25" s="1"/>
  <c r="Y17" i="25" s="1"/>
  <c r="D18" i="25"/>
  <c r="E18" i="25" s="1"/>
  <c r="I18" i="25"/>
  <c r="J18" i="25" s="1"/>
  <c r="O18" i="25"/>
  <c r="S18" i="25"/>
  <c r="T18" i="25" s="1"/>
  <c r="V18" i="25"/>
  <c r="W18" i="25"/>
  <c r="X18" i="25" s="1"/>
  <c r="Y18" i="25" s="1"/>
  <c r="D19" i="25"/>
  <c r="E19" i="25" s="1"/>
  <c r="I19" i="25"/>
  <c r="J19" i="25" s="1"/>
  <c r="O19" i="25"/>
  <c r="S19" i="25"/>
  <c r="T19" i="25"/>
  <c r="V19" i="25"/>
  <c r="W19" i="25"/>
  <c r="X19" i="25" s="1"/>
  <c r="Y19" i="25" s="1"/>
  <c r="AB19" i="25"/>
  <c r="AC19" i="25" s="1"/>
  <c r="D20" i="25"/>
  <c r="E20" i="25" s="1"/>
  <c r="I20" i="25"/>
  <c r="J20" i="25" s="1"/>
  <c r="O20" i="25"/>
  <c r="S20" i="25"/>
  <c r="T20" i="25"/>
  <c r="V20" i="25"/>
  <c r="W20" i="25"/>
  <c r="AB20" i="25"/>
  <c r="AC20" i="25" s="1"/>
  <c r="D21" i="25"/>
  <c r="E21" i="25"/>
  <c r="I21" i="25"/>
  <c r="J21" i="25" s="1"/>
  <c r="O21" i="25"/>
  <c r="S21" i="25"/>
  <c r="T21" i="25"/>
  <c r="V21" i="25"/>
  <c r="W21" i="25"/>
  <c r="AB21" i="25" s="1"/>
  <c r="AC21" i="25" s="1"/>
  <c r="X21" i="25"/>
  <c r="Y21" i="25" s="1"/>
  <c r="D22" i="25"/>
  <c r="E22" i="25"/>
  <c r="I22" i="25"/>
  <c r="J22" i="25"/>
  <c r="O22" i="25"/>
  <c r="S22" i="25"/>
  <c r="T22" i="25" s="1"/>
  <c r="V22" i="25"/>
  <c r="W22" i="25"/>
  <c r="AB22" i="25"/>
  <c r="AC22" i="25" s="1"/>
  <c r="B23" i="25"/>
  <c r="C23" i="25"/>
  <c r="G23" i="25"/>
  <c r="H23" i="25"/>
  <c r="L23" i="25"/>
  <c r="O23" i="25" s="1"/>
  <c r="Q23" i="25"/>
  <c r="R23" i="25"/>
  <c r="W23" i="25"/>
  <c r="AA23" i="25"/>
  <c r="T24" i="25"/>
  <c r="D25" i="25"/>
  <c r="E25" i="25"/>
  <c r="I25" i="25"/>
  <c r="J25" i="25" s="1"/>
  <c r="O25" i="25"/>
  <c r="S25" i="25"/>
  <c r="T25" i="25"/>
  <c r="V25" i="25"/>
  <c r="W25" i="25"/>
  <c r="T26" i="25"/>
  <c r="B27" i="25"/>
  <c r="C27" i="25"/>
  <c r="G27" i="25"/>
  <c r="H27" i="25"/>
  <c r="L27" i="25"/>
  <c r="O27" i="25" s="1"/>
  <c r="Q27" i="25"/>
  <c r="R27" i="25"/>
  <c r="W27" i="25"/>
  <c r="AA27" i="25"/>
  <c r="AB27" i="25" s="1"/>
  <c r="B32" i="25"/>
  <c r="C32" i="25"/>
  <c r="D32" i="25"/>
  <c r="E32" i="25" s="1"/>
  <c r="G32" i="25"/>
  <c r="H32" i="25"/>
  <c r="O32" i="25"/>
  <c r="S32" i="25"/>
  <c r="T32" i="25"/>
  <c r="V32" i="25"/>
  <c r="AA32" i="25"/>
  <c r="D33" i="25"/>
  <c r="E33" i="25" s="1"/>
  <c r="I33" i="25"/>
  <c r="J33" i="25"/>
  <c r="O33" i="25"/>
  <c r="S33" i="25"/>
  <c r="T33" i="25" s="1"/>
  <c r="V33" i="25"/>
  <c r="W33" i="25"/>
  <c r="AB33" i="25" s="1"/>
  <c r="AC33" i="25" s="1"/>
  <c r="D34" i="25"/>
  <c r="E34" i="25" s="1"/>
  <c r="I34" i="25"/>
  <c r="J34" i="25"/>
  <c r="O34" i="25"/>
  <c r="S34" i="25"/>
  <c r="T34" i="25"/>
  <c r="V34" i="25"/>
  <c r="W34" i="25"/>
  <c r="AB34" i="25"/>
  <c r="AC34" i="25" s="1"/>
  <c r="D35" i="25"/>
  <c r="E35" i="25"/>
  <c r="I35" i="25"/>
  <c r="J35" i="25"/>
  <c r="O35" i="25"/>
  <c r="S35" i="25"/>
  <c r="T35" i="25"/>
  <c r="V35" i="25"/>
  <c r="W35" i="25"/>
  <c r="AB35" i="25"/>
  <c r="AC35" i="25" s="1"/>
  <c r="C36" i="25"/>
  <c r="D36" i="25"/>
  <c r="E36" i="25" s="1"/>
  <c r="H36" i="25"/>
  <c r="I36" i="25"/>
  <c r="J36" i="25" s="1"/>
  <c r="O36" i="25"/>
  <c r="S36" i="25"/>
  <c r="T36" i="25"/>
  <c r="V36" i="25"/>
  <c r="D37" i="25"/>
  <c r="E37" i="25"/>
  <c r="I37" i="25"/>
  <c r="J37" i="25" s="1"/>
  <c r="O37" i="25"/>
  <c r="S37" i="25"/>
  <c r="T37" i="25" s="1"/>
  <c r="V37" i="25"/>
  <c r="W37" i="25"/>
  <c r="X37" i="25"/>
  <c r="Y37" i="25" s="1"/>
  <c r="AB37" i="25"/>
  <c r="AC37" i="25" s="1"/>
  <c r="D38" i="25"/>
  <c r="E38" i="25" s="1"/>
  <c r="I38" i="25"/>
  <c r="J38" i="25" s="1"/>
  <c r="O38" i="25"/>
  <c r="S38" i="25"/>
  <c r="T38" i="25" s="1"/>
  <c r="V38" i="25"/>
  <c r="W38" i="25"/>
  <c r="AB38" i="25" s="1"/>
  <c r="AC38" i="25" s="1"/>
  <c r="C39" i="25"/>
  <c r="H39" i="25"/>
  <c r="O39" i="25"/>
  <c r="S39" i="25"/>
  <c r="T39" i="25"/>
  <c r="V39" i="25"/>
  <c r="AA39" i="25"/>
  <c r="AA40" i="25" s="1"/>
  <c r="B40" i="25"/>
  <c r="H40" i="25"/>
  <c r="L40" i="25"/>
  <c r="O40" i="25" s="1"/>
  <c r="Q40" i="25"/>
  <c r="R40" i="25"/>
  <c r="D43" i="25"/>
  <c r="E43" i="25" s="1"/>
  <c r="I43" i="25"/>
  <c r="J43" i="25"/>
  <c r="O43" i="25"/>
  <c r="S43" i="25"/>
  <c r="T43" i="25"/>
  <c r="V43" i="25"/>
  <c r="W43" i="25"/>
  <c r="AB43" i="25"/>
  <c r="AC43" i="25" s="1"/>
  <c r="D44" i="25"/>
  <c r="E44" i="25"/>
  <c r="I44" i="25"/>
  <c r="J44" i="25"/>
  <c r="O44" i="25"/>
  <c r="S44" i="25"/>
  <c r="T44" i="25"/>
  <c r="V44" i="25"/>
  <c r="W44" i="25"/>
  <c r="AB44" i="25"/>
  <c r="AC44" i="25" s="1"/>
  <c r="D45" i="25"/>
  <c r="E45" i="25"/>
  <c r="I45" i="25"/>
  <c r="J45" i="25" s="1"/>
  <c r="O45" i="25"/>
  <c r="S45" i="25"/>
  <c r="T45" i="25"/>
  <c r="V45" i="25"/>
  <c r="W45" i="25"/>
  <c r="AB45" i="25" s="1"/>
  <c r="AC45" i="25" s="1"/>
  <c r="X45" i="25"/>
  <c r="Y45" i="25" s="1"/>
  <c r="D46" i="25"/>
  <c r="E46" i="25"/>
  <c r="I46" i="25"/>
  <c r="J46" i="25"/>
  <c r="O46" i="25"/>
  <c r="S46" i="25"/>
  <c r="T46" i="25" s="1"/>
  <c r="V46" i="25"/>
  <c r="W46" i="25"/>
  <c r="AB46" i="25"/>
  <c r="AC46" i="25"/>
  <c r="D47" i="25"/>
  <c r="E47" i="25" s="1"/>
  <c r="I47" i="25"/>
  <c r="J47" i="25" s="1"/>
  <c r="O47" i="25"/>
  <c r="S47" i="25"/>
  <c r="T47" i="25"/>
  <c r="V47" i="25"/>
  <c r="W47" i="25"/>
  <c r="AB47" i="25" s="1"/>
  <c r="AC47" i="25" s="1"/>
  <c r="D48" i="25"/>
  <c r="E48" i="25"/>
  <c r="I48" i="25"/>
  <c r="J48" i="25" s="1"/>
  <c r="O48" i="25"/>
  <c r="S48" i="25"/>
  <c r="T48" i="25" s="1"/>
  <c r="V48" i="25"/>
  <c r="W48" i="25"/>
  <c r="X48" i="25"/>
  <c r="Y48" i="25"/>
  <c r="AB48" i="25"/>
  <c r="AC48" i="25" s="1"/>
  <c r="D49" i="25"/>
  <c r="E49" i="25" s="1"/>
  <c r="I49" i="25"/>
  <c r="J49" i="25" s="1"/>
  <c r="O49" i="25"/>
  <c r="S49" i="25"/>
  <c r="T49" i="25" s="1"/>
  <c r="V49" i="25"/>
  <c r="W49" i="25"/>
  <c r="AB49" i="25" s="1"/>
  <c r="AC49" i="25" s="1"/>
  <c r="D50" i="25"/>
  <c r="E50" i="25" s="1"/>
  <c r="I50" i="25"/>
  <c r="J50" i="25"/>
  <c r="O50" i="25"/>
  <c r="S50" i="25"/>
  <c r="T50" i="25" s="1"/>
  <c r="V50" i="25"/>
  <c r="W50" i="25"/>
  <c r="AB50" i="25" s="1"/>
  <c r="AC50" i="25" s="1"/>
  <c r="D51" i="25"/>
  <c r="E51" i="25" s="1"/>
  <c r="I51" i="25"/>
  <c r="J51" i="25"/>
  <c r="O51" i="25"/>
  <c r="S51" i="25"/>
  <c r="T51" i="25"/>
  <c r="V51" i="25"/>
  <c r="W51" i="25"/>
  <c r="AB51" i="25"/>
  <c r="AC51" i="25" s="1"/>
  <c r="D52" i="25"/>
  <c r="E52" i="25"/>
  <c r="I52" i="25"/>
  <c r="J52" i="25"/>
  <c r="O52" i="25"/>
  <c r="S52" i="25"/>
  <c r="T52" i="25"/>
  <c r="V52" i="25"/>
  <c r="W52" i="25"/>
  <c r="AB52" i="25"/>
  <c r="AC52" i="25" s="1"/>
  <c r="D53" i="25"/>
  <c r="E53" i="25"/>
  <c r="I53" i="25"/>
  <c r="J53" i="25" s="1"/>
  <c r="O53" i="25"/>
  <c r="S53" i="25"/>
  <c r="T53" i="25"/>
  <c r="V53" i="25"/>
  <c r="W53" i="25"/>
  <c r="AB53" i="25" s="1"/>
  <c r="AC53" i="25" s="1"/>
  <c r="X53" i="25"/>
  <c r="Y53" i="25" s="1"/>
  <c r="D54" i="25"/>
  <c r="E54" i="25"/>
  <c r="I54" i="25"/>
  <c r="J54" i="25"/>
  <c r="O54" i="25"/>
  <c r="S54" i="25"/>
  <c r="T54" i="25" s="1"/>
  <c r="V54" i="25"/>
  <c r="W54" i="25"/>
  <c r="AB54" i="25"/>
  <c r="AC54" i="25"/>
  <c r="D55" i="25"/>
  <c r="E55" i="25" s="1"/>
  <c r="I55" i="25"/>
  <c r="J55" i="25" s="1"/>
  <c r="O55" i="25"/>
  <c r="S55" i="25"/>
  <c r="T55" i="25"/>
  <c r="V55" i="25"/>
  <c r="W55" i="25"/>
  <c r="AB55" i="25" s="1"/>
  <c r="AC55" i="25" s="1"/>
  <c r="D56" i="25"/>
  <c r="E56" i="25"/>
  <c r="I56" i="25"/>
  <c r="J56" i="25" s="1"/>
  <c r="O56" i="25"/>
  <c r="S56" i="25"/>
  <c r="T56" i="25"/>
  <c r="V56" i="25"/>
  <c r="W56" i="25"/>
  <c r="X56" i="25"/>
  <c r="Y56" i="25"/>
  <c r="AB56" i="25"/>
  <c r="AC56" i="25" s="1"/>
  <c r="D57" i="25"/>
  <c r="E57" i="25"/>
  <c r="I57" i="25"/>
  <c r="J57" i="25"/>
  <c r="O57" i="25"/>
  <c r="S57" i="25"/>
  <c r="T57" i="25" s="1"/>
  <c r="V57" i="25"/>
  <c r="W57" i="25"/>
  <c r="X57" i="25" s="1"/>
  <c r="Y57" i="25" s="1"/>
  <c r="AB57" i="25"/>
  <c r="AC57" i="25" s="1"/>
  <c r="D58" i="25"/>
  <c r="E58" i="25" s="1"/>
  <c r="I58" i="25"/>
  <c r="J58" i="25"/>
  <c r="O58" i="25"/>
  <c r="S58" i="25"/>
  <c r="T58" i="25"/>
  <c r="V58" i="25"/>
  <c r="W58" i="25"/>
  <c r="AB58" i="25" s="1"/>
  <c r="AC58" i="25" s="1"/>
  <c r="D59" i="25"/>
  <c r="E59" i="25"/>
  <c r="I59" i="25"/>
  <c r="J59" i="25"/>
  <c r="O59" i="25"/>
  <c r="S59" i="25"/>
  <c r="T59" i="25"/>
  <c r="V59" i="25"/>
  <c r="W59" i="25"/>
  <c r="AB59" i="25"/>
  <c r="AC59" i="25" s="1"/>
  <c r="C60" i="25"/>
  <c r="D60" i="25"/>
  <c r="E60" i="25" s="1"/>
  <c r="H60" i="25"/>
  <c r="I60" i="25" s="1"/>
  <c r="J60" i="25" s="1"/>
  <c r="O60" i="25"/>
  <c r="S60" i="25"/>
  <c r="T60" i="25" s="1"/>
  <c r="V60" i="25"/>
  <c r="W60" i="25"/>
  <c r="AB60" i="25"/>
  <c r="AC60" i="25" s="1"/>
  <c r="B61" i="25"/>
  <c r="C61" i="25"/>
  <c r="G61" i="25"/>
  <c r="H61" i="25"/>
  <c r="I61" i="25"/>
  <c r="J61" i="25"/>
  <c r="O61" i="25"/>
  <c r="S61" i="25"/>
  <c r="T61" i="25" s="1"/>
  <c r="W61" i="25"/>
  <c r="AA61" i="25"/>
  <c r="AB61" i="25" s="1"/>
  <c r="AC61" i="25" s="1"/>
  <c r="D62" i="25"/>
  <c r="E62" i="25"/>
  <c r="I62" i="25"/>
  <c r="J62" i="25"/>
  <c r="O62" i="25"/>
  <c r="S62" i="25"/>
  <c r="T62" i="25" s="1"/>
  <c r="V62" i="25"/>
  <c r="W62" i="25"/>
  <c r="X62" i="25"/>
  <c r="Y62" i="25" s="1"/>
  <c r="AB62" i="25"/>
  <c r="AC62" i="25" s="1"/>
  <c r="D63" i="25"/>
  <c r="E63" i="25" s="1"/>
  <c r="I63" i="25"/>
  <c r="J63" i="25"/>
  <c r="O63" i="25"/>
  <c r="S63" i="25"/>
  <c r="T63" i="25" s="1"/>
  <c r="V63" i="25"/>
  <c r="W63" i="25"/>
  <c r="AB63" i="25" s="1"/>
  <c r="AC63" i="25" s="1"/>
  <c r="D64" i="25"/>
  <c r="E64" i="25"/>
  <c r="I64" i="25"/>
  <c r="J64" i="25"/>
  <c r="O64" i="25"/>
  <c r="S64" i="25"/>
  <c r="T64" i="25"/>
  <c r="V64" i="25"/>
  <c r="W64" i="25"/>
  <c r="AB64" i="25"/>
  <c r="AC64" i="25" s="1"/>
  <c r="C65" i="25"/>
  <c r="C65" i="27" s="1"/>
  <c r="D65" i="25"/>
  <c r="E65" i="25" s="1"/>
  <c r="I65" i="25"/>
  <c r="J65" i="25" s="1"/>
  <c r="O65" i="25"/>
  <c r="S65" i="25"/>
  <c r="T65" i="25" s="1"/>
  <c r="V65" i="25"/>
  <c r="W65" i="25"/>
  <c r="AB65" i="25" s="1"/>
  <c r="AC65" i="25" s="1"/>
  <c r="D66" i="25"/>
  <c r="E66" i="25" s="1"/>
  <c r="I66" i="25"/>
  <c r="J66" i="25" s="1"/>
  <c r="O66" i="25"/>
  <c r="S66" i="25"/>
  <c r="T66" i="25" s="1"/>
  <c r="V66" i="25"/>
  <c r="W66" i="25"/>
  <c r="AB66" i="25" s="1"/>
  <c r="AC66" i="25" s="1"/>
  <c r="D67" i="25"/>
  <c r="E67" i="25" s="1"/>
  <c r="I67" i="25"/>
  <c r="J67" i="25"/>
  <c r="O67" i="25"/>
  <c r="S67" i="25"/>
  <c r="T67" i="25" s="1"/>
  <c r="V67" i="25"/>
  <c r="W67" i="25"/>
  <c r="AB67" i="25"/>
  <c r="AC67" i="25" s="1"/>
  <c r="C68" i="25"/>
  <c r="I68" i="25"/>
  <c r="J68" i="25" s="1"/>
  <c r="O68" i="25"/>
  <c r="S68" i="25"/>
  <c r="T68" i="25" s="1"/>
  <c r="V68" i="25"/>
  <c r="W68" i="25"/>
  <c r="AB68" i="25"/>
  <c r="AC68" i="25" s="1"/>
  <c r="D69" i="25"/>
  <c r="E69" i="25" s="1"/>
  <c r="I69" i="25"/>
  <c r="J69" i="25" s="1"/>
  <c r="O69" i="25"/>
  <c r="S69" i="25"/>
  <c r="T69" i="25"/>
  <c r="V69" i="25"/>
  <c r="W69" i="25"/>
  <c r="AB69" i="25" s="1"/>
  <c r="AC69" i="25" s="1"/>
  <c r="D70" i="25"/>
  <c r="E70" i="25"/>
  <c r="I70" i="25"/>
  <c r="J70" i="25"/>
  <c r="O70" i="25"/>
  <c r="S70" i="25"/>
  <c r="T70" i="25"/>
  <c r="V70" i="25"/>
  <c r="W70" i="25"/>
  <c r="X70" i="25"/>
  <c r="Y70" i="25" s="1"/>
  <c r="AB70" i="25"/>
  <c r="AC70" i="25" s="1"/>
  <c r="D71" i="25"/>
  <c r="E71" i="25"/>
  <c r="I71" i="25"/>
  <c r="J71" i="25" s="1"/>
  <c r="O71" i="25"/>
  <c r="S71" i="25"/>
  <c r="T71" i="25"/>
  <c r="V71" i="25"/>
  <c r="W71" i="25"/>
  <c r="AB71" i="25"/>
  <c r="AC71" i="25" s="1"/>
  <c r="D72" i="25"/>
  <c r="E72" i="25"/>
  <c r="I72" i="25"/>
  <c r="J72" i="25" s="1"/>
  <c r="O72" i="25"/>
  <c r="S72" i="25"/>
  <c r="T72" i="25" s="1"/>
  <c r="V72" i="25"/>
  <c r="W72" i="25"/>
  <c r="AB72" i="25" s="1"/>
  <c r="AC72" i="25" s="1"/>
  <c r="X72" i="25"/>
  <c r="Y72" i="25" s="1"/>
  <c r="D73" i="25"/>
  <c r="E73" i="25" s="1"/>
  <c r="I73" i="25"/>
  <c r="J73" i="25"/>
  <c r="O73" i="25"/>
  <c r="S73" i="25"/>
  <c r="T73" i="25" s="1"/>
  <c r="V73" i="25"/>
  <c r="W73" i="25"/>
  <c r="AB73" i="25"/>
  <c r="AC73" i="25" s="1"/>
  <c r="D74" i="25"/>
  <c r="E74" i="25" s="1"/>
  <c r="I74" i="25"/>
  <c r="J74" i="25" s="1"/>
  <c r="S74" i="25"/>
  <c r="V74" i="25"/>
  <c r="W74" i="25"/>
  <c r="AB74" i="25" s="1"/>
  <c r="AC74" i="25" s="1"/>
  <c r="X74" i="25"/>
  <c r="Y74" i="25" s="1"/>
  <c r="D75" i="25"/>
  <c r="E75" i="25" s="1"/>
  <c r="I75" i="25"/>
  <c r="J75" i="25"/>
  <c r="V75" i="25"/>
  <c r="W75" i="25"/>
  <c r="AB75" i="25" s="1"/>
  <c r="AC75" i="25" s="1"/>
  <c r="C76" i="25"/>
  <c r="G76" i="25"/>
  <c r="H76" i="25"/>
  <c r="L76" i="25"/>
  <c r="O76" i="25"/>
  <c r="Q76" i="25"/>
  <c r="Q78" i="25" s="1"/>
  <c r="Q80" i="25" s="1"/>
  <c r="Q84" i="25" s="1"/>
  <c r="R76" i="25"/>
  <c r="R78" i="25" s="1"/>
  <c r="R80" i="25" s="1"/>
  <c r="R84" i="25" s="1"/>
  <c r="AA76" i="25"/>
  <c r="H78" i="25"/>
  <c r="H80" i="25" s="1"/>
  <c r="H84" i="25" s="1"/>
  <c r="D82" i="25"/>
  <c r="E82" i="25" s="1"/>
  <c r="I82" i="25"/>
  <c r="J82" i="25"/>
  <c r="N82" i="25"/>
  <c r="O82" i="25" s="1"/>
  <c r="S82" i="25"/>
  <c r="T82" i="25" s="1"/>
  <c r="V82" i="25"/>
  <c r="W82" i="25"/>
  <c r="X82" i="25"/>
  <c r="Y82" i="25"/>
  <c r="AA82" i="25"/>
  <c r="AB82" i="25" s="1"/>
  <c r="AC82" i="25" s="1"/>
  <c r="M84" i="25"/>
  <c r="X75" i="25" l="1"/>
  <c r="Y75" i="25" s="1"/>
  <c r="X73" i="25"/>
  <c r="Y73" i="25" s="1"/>
  <c r="X71" i="25"/>
  <c r="Y71" i="25" s="1"/>
  <c r="X69" i="25"/>
  <c r="Y69" i="25" s="1"/>
  <c r="X68" i="25"/>
  <c r="Y68" i="25" s="1"/>
  <c r="D68" i="25"/>
  <c r="E68" i="25" s="1"/>
  <c r="C68" i="27"/>
  <c r="X67" i="25"/>
  <c r="Y67" i="25" s="1"/>
  <c r="X66" i="25"/>
  <c r="Y66" i="25" s="1"/>
  <c r="X65" i="25"/>
  <c r="Y65" i="25" s="1"/>
  <c r="X64" i="25"/>
  <c r="Y64" i="25" s="1"/>
  <c r="X63" i="25"/>
  <c r="Y63" i="25" s="1"/>
  <c r="D61" i="25"/>
  <c r="X60" i="25"/>
  <c r="Y60" i="25" s="1"/>
  <c r="X59" i="25"/>
  <c r="Y59" i="25" s="1"/>
  <c r="X58" i="25"/>
  <c r="Y58" i="25" s="1"/>
  <c r="X55" i="25"/>
  <c r="Y55" i="25" s="1"/>
  <c r="X54" i="25"/>
  <c r="Y54" i="25" s="1"/>
  <c r="X52" i="25"/>
  <c r="Y52" i="25" s="1"/>
  <c r="X51" i="25"/>
  <c r="Y51" i="25" s="1"/>
  <c r="X50" i="25"/>
  <c r="Y50" i="25" s="1"/>
  <c r="X49" i="25"/>
  <c r="Y49" i="25" s="1"/>
  <c r="X47" i="25"/>
  <c r="Y47" i="25" s="1"/>
  <c r="X46" i="25"/>
  <c r="Y46" i="25" s="1"/>
  <c r="X44" i="25"/>
  <c r="Y44" i="25" s="1"/>
  <c r="S76" i="25"/>
  <c r="T76" i="25" s="1"/>
  <c r="X43" i="25"/>
  <c r="AA78" i="25"/>
  <c r="AA80" i="25" s="1"/>
  <c r="AA84" i="25" s="1"/>
  <c r="I39" i="25"/>
  <c r="J39" i="25" s="1"/>
  <c r="H39" i="27"/>
  <c r="I39" i="27" s="1"/>
  <c r="J39" i="27" s="1"/>
  <c r="D39" i="25"/>
  <c r="E39" i="25" s="1"/>
  <c r="C39" i="27"/>
  <c r="D39" i="27" s="1"/>
  <c r="E39" i="27" s="1"/>
  <c r="X38" i="25"/>
  <c r="Y38" i="25" s="1"/>
  <c r="W36" i="25"/>
  <c r="X35" i="25"/>
  <c r="Y35" i="25" s="1"/>
  <c r="X34" i="25"/>
  <c r="Y34" i="25" s="1"/>
  <c r="X33" i="25"/>
  <c r="Y33" i="25" s="1"/>
  <c r="S40" i="25"/>
  <c r="I32" i="25"/>
  <c r="C40" i="25"/>
  <c r="C78" i="25" s="1"/>
  <c r="C80" i="25" s="1"/>
  <c r="C84" i="25" s="1"/>
  <c r="X22" i="25"/>
  <c r="Y22" i="25" s="1"/>
  <c r="X20" i="25"/>
  <c r="Y20" i="25" s="1"/>
  <c r="V23" i="25"/>
  <c r="V27" i="25" s="1"/>
  <c r="X14" i="25"/>
  <c r="Y14" i="25" s="1"/>
  <c r="D70" i="26"/>
  <c r="D63" i="26"/>
  <c r="C63" i="26"/>
  <c r="E72" i="26"/>
  <c r="N40" i="27"/>
  <c r="O32" i="27"/>
  <c r="Q78" i="27"/>
  <c r="H72" i="18"/>
  <c r="G72" i="18"/>
  <c r="L72" i="18"/>
  <c r="D22" i="27"/>
  <c r="E22" i="27" s="1"/>
  <c r="D54" i="27"/>
  <c r="E54" i="27" s="1"/>
  <c r="D68" i="27"/>
  <c r="E68" i="27" s="1"/>
  <c r="D70" i="27"/>
  <c r="E70" i="27" s="1"/>
  <c r="I46" i="27"/>
  <c r="J46" i="27" s="1"/>
  <c r="I54" i="27"/>
  <c r="J54" i="27" s="1"/>
  <c r="D52" i="27"/>
  <c r="E52" i="27" s="1"/>
  <c r="V68" i="27"/>
  <c r="V44" i="27"/>
  <c r="X44" i="27" s="1"/>
  <c r="Y44" i="27" s="1"/>
  <c r="AB74" i="27"/>
  <c r="AC74" i="27" s="1"/>
  <c r="V67" i="27"/>
  <c r="W70" i="27"/>
  <c r="D20" i="27"/>
  <c r="E20" i="27" s="1"/>
  <c r="W47" i="27"/>
  <c r="W51" i="27"/>
  <c r="W63" i="27"/>
  <c r="W58" i="27"/>
  <c r="W39" i="27"/>
  <c r="X39" i="27" s="1"/>
  <c r="Y39" i="27" s="1"/>
  <c r="W54" i="27"/>
  <c r="X57" i="27"/>
  <c r="Y57" i="27" s="1"/>
  <c r="W52" i="27"/>
  <c r="W56" i="27"/>
  <c r="W68" i="27"/>
  <c r="D74" i="27"/>
  <c r="E74" i="27" s="1"/>
  <c r="V20" i="27"/>
  <c r="X74" i="27"/>
  <c r="Y74" i="27" s="1"/>
  <c r="I66" i="27"/>
  <c r="J66" i="27" s="1"/>
  <c r="I70" i="27"/>
  <c r="J70" i="27" s="1"/>
  <c r="I74" i="27"/>
  <c r="J74" i="27" s="1"/>
  <c r="X45" i="27"/>
  <c r="Y45" i="27" s="1"/>
  <c r="V63" i="27"/>
  <c r="D71" i="27"/>
  <c r="E71" i="27" s="1"/>
  <c r="V51" i="27"/>
  <c r="X68" i="27"/>
  <c r="Y68" i="27" s="1"/>
  <c r="X70" i="27"/>
  <c r="Y70" i="27" s="1"/>
  <c r="X33" i="27"/>
  <c r="Y33" i="27" s="1"/>
  <c r="X38" i="27"/>
  <c r="Y38" i="27" s="1"/>
  <c r="D33" i="27"/>
  <c r="E33" i="27" s="1"/>
  <c r="Q27" i="27"/>
  <c r="Q80" i="27" s="1"/>
  <c r="Q84" i="27" s="1"/>
  <c r="W15" i="27"/>
  <c r="W22" i="27"/>
  <c r="D14" i="27"/>
  <c r="E14" i="27" s="1"/>
  <c r="V13" i="27"/>
  <c r="D13" i="27"/>
  <c r="E13" i="27" s="1"/>
  <c r="W20" i="27"/>
  <c r="W21" i="27"/>
  <c r="V19" i="27"/>
  <c r="V18" i="27"/>
  <c r="X18" i="27" s="1"/>
  <c r="Y18" i="27" s="1"/>
  <c r="W16" i="27"/>
  <c r="D21" i="27"/>
  <c r="E21" i="27" s="1"/>
  <c r="V14" i="27"/>
  <c r="X14" i="27" s="1"/>
  <c r="Y14" i="27" s="1"/>
  <c r="V22" i="27"/>
  <c r="V21" i="27"/>
  <c r="X54" i="27"/>
  <c r="Y54" i="27" s="1"/>
  <c r="X71" i="27"/>
  <c r="Y71" i="27" s="1"/>
  <c r="O14" i="27"/>
  <c r="N23" i="27"/>
  <c r="S40" i="27"/>
  <c r="X49" i="27"/>
  <c r="Y49" i="27" s="1"/>
  <c r="O40" i="27"/>
  <c r="N76" i="27"/>
  <c r="S23" i="27"/>
  <c r="S76" i="27"/>
  <c r="T76" i="27" s="1"/>
  <c r="O43" i="27"/>
  <c r="X82" i="27"/>
  <c r="Y82" i="27" s="1"/>
  <c r="C39" i="26"/>
  <c r="D33" i="26"/>
  <c r="D39" i="26" s="1"/>
  <c r="D43" i="26" s="1"/>
  <c r="C43" i="26"/>
  <c r="C72" i="26"/>
  <c r="B39" i="26"/>
  <c r="B43" i="26" s="1"/>
  <c r="AC13" i="25"/>
  <c r="J32" i="25"/>
  <c r="I40" i="25"/>
  <c r="E61" i="25"/>
  <c r="D76" i="25"/>
  <c r="I76" i="25"/>
  <c r="J76" i="25" s="1"/>
  <c r="S78" i="25"/>
  <c r="T78" i="25" s="1"/>
  <c r="T40" i="25"/>
  <c r="Y43" i="25"/>
  <c r="AC27" i="25"/>
  <c r="I23" i="25"/>
  <c r="N84" i="25"/>
  <c r="B76" i="25"/>
  <c r="B78" i="25" s="1"/>
  <c r="B80" i="25" s="1"/>
  <c r="B84" i="25" s="1"/>
  <c r="V40" i="25"/>
  <c r="AB17" i="25"/>
  <c r="AC17" i="25" s="1"/>
  <c r="W76" i="25"/>
  <c r="S23" i="25"/>
  <c r="V61" i="25"/>
  <c r="X61" i="25" s="1"/>
  <c r="Y61" i="25" s="1"/>
  <c r="G40" i="25"/>
  <c r="G78" i="25" s="1"/>
  <c r="G80" i="25" s="1"/>
  <c r="G84" i="25" s="1"/>
  <c r="AB15" i="25"/>
  <c r="AC15" i="25" s="1"/>
  <c r="L78" i="25"/>
  <c r="D23" i="25"/>
  <c r="AB18" i="25"/>
  <c r="AC18" i="25" s="1"/>
  <c r="D40" i="25"/>
  <c r="W39" i="25"/>
  <c r="AB39" i="25" s="1"/>
  <c r="AC39" i="25" s="1"/>
  <c r="W32" i="25"/>
  <c r="W40" i="25" s="1"/>
  <c r="W78" i="25" s="1"/>
  <c r="W80" i="25" s="1"/>
  <c r="W84" i="25" s="1"/>
  <c r="AB84" i="25" s="1"/>
  <c r="AC84" i="25" s="1"/>
  <c r="AB76" i="25"/>
  <c r="AC76" i="25" s="1"/>
  <c r="X23" i="25"/>
  <c r="E76" i="25" l="1"/>
  <c r="O76" i="27"/>
  <c r="N78" i="27"/>
  <c r="O78" i="27" s="1"/>
  <c r="D72" i="26"/>
  <c r="AB36" i="25"/>
  <c r="AC36" i="25" s="1"/>
  <c r="X36" i="25"/>
  <c r="Y36" i="25" s="1"/>
  <c r="X21" i="27"/>
  <c r="Y21" i="27" s="1"/>
  <c r="X51" i="27"/>
  <c r="Y51" i="27" s="1"/>
  <c r="X63" i="27"/>
  <c r="Y63" i="27" s="1"/>
  <c r="X52" i="27"/>
  <c r="Y52" i="27" s="1"/>
  <c r="X20" i="27"/>
  <c r="Y20" i="27" s="1"/>
  <c r="X22" i="27"/>
  <c r="Y22" i="27" s="1"/>
  <c r="S27" i="27"/>
  <c r="T23" i="27"/>
  <c r="T40" i="27"/>
  <c r="S78" i="27"/>
  <c r="T78" i="27" s="1"/>
  <c r="N27" i="27"/>
  <c r="O23" i="27"/>
  <c r="X32" i="25"/>
  <c r="X27" i="25"/>
  <c r="Y23" i="25"/>
  <c r="I78" i="25"/>
  <c r="J78" i="25" s="1"/>
  <c r="J40" i="25"/>
  <c r="V76" i="25"/>
  <c r="V78" i="25" s="1"/>
  <c r="V80" i="25" s="1"/>
  <c r="V84" i="25" s="1"/>
  <c r="E40" i="25"/>
  <c r="D78" i="25"/>
  <c r="E78" i="25" s="1"/>
  <c r="AB32" i="25"/>
  <c r="I27" i="25"/>
  <c r="J23" i="25"/>
  <c r="S27" i="25"/>
  <c r="T23" i="25"/>
  <c r="D27" i="25"/>
  <c r="E23" i="25"/>
  <c r="X39" i="25"/>
  <c r="Y39" i="25" s="1"/>
  <c r="AB23" i="25"/>
  <c r="AC23" i="25" s="1"/>
  <c r="O78" i="25"/>
  <c r="L80" i="25"/>
  <c r="X76" i="25"/>
  <c r="Y76" i="25" s="1"/>
  <c r="T27" i="27" l="1"/>
  <c r="S80" i="27"/>
  <c r="N80" i="27"/>
  <c r="O27" i="27"/>
  <c r="I80" i="25"/>
  <c r="J27" i="25"/>
  <c r="D80" i="25"/>
  <c r="E27" i="25"/>
  <c r="S80" i="25"/>
  <c r="T27" i="25"/>
  <c r="O80" i="25"/>
  <c r="L84" i="25"/>
  <c r="O84" i="25" s="1"/>
  <c r="AB40" i="25"/>
  <c r="AC32" i="25"/>
  <c r="Y27" i="25"/>
  <c r="Y32" i="25"/>
  <c r="X40" i="25"/>
  <c r="O80" i="27" l="1"/>
  <c r="N84" i="27"/>
  <c r="O84" i="27" s="1"/>
  <c r="S84" i="27"/>
  <c r="T84" i="27" s="1"/>
  <c r="T80" i="27"/>
  <c r="E80" i="25"/>
  <c r="D84" i="25"/>
  <c r="E84" i="25" s="1"/>
  <c r="Y40" i="25"/>
  <c r="X78" i="25"/>
  <c r="S84" i="25"/>
  <c r="T84" i="25" s="1"/>
  <c r="T80" i="25"/>
  <c r="AC40" i="25"/>
  <c r="AB78" i="25"/>
  <c r="AB80" i="25" s="1"/>
  <c r="I84" i="25"/>
  <c r="J84" i="25" s="1"/>
  <c r="J80" i="25"/>
  <c r="AC78" i="25" l="1"/>
  <c r="AC80" i="25"/>
  <c r="Y78" i="25"/>
  <c r="X80" i="25"/>
  <c r="Y80" i="25" l="1"/>
  <c r="X84" i="25"/>
  <c r="Y84" i="25" s="1"/>
  <c r="B20" i="24"/>
  <c r="C20" i="24"/>
  <c r="D20" i="24"/>
  <c r="E20" i="24"/>
  <c r="F20" i="24"/>
  <c r="B30" i="24"/>
  <c r="C30" i="24"/>
  <c r="D30" i="24"/>
  <c r="E30" i="24"/>
  <c r="F30" i="24"/>
  <c r="C34" i="24"/>
  <c r="C35" i="24"/>
  <c r="C36" i="24"/>
  <c r="B39" i="24"/>
  <c r="D39" i="24"/>
  <c r="E39" i="24"/>
  <c r="F39" i="24"/>
  <c r="B41" i="24"/>
  <c r="C41" i="24"/>
  <c r="D41" i="24"/>
  <c r="E43" i="24"/>
  <c r="F43" i="24"/>
  <c r="B57" i="24"/>
  <c r="C57" i="24"/>
  <c r="D57" i="24"/>
  <c r="E57" i="24"/>
  <c r="F57" i="24"/>
  <c r="B63" i="24"/>
  <c r="C63" i="24"/>
  <c r="D63" i="24"/>
  <c r="E63" i="24"/>
  <c r="F63" i="24"/>
  <c r="B70" i="24"/>
  <c r="C70" i="24"/>
  <c r="D70" i="24"/>
  <c r="D72" i="24" s="1"/>
  <c r="E70" i="24"/>
  <c r="E72" i="24" s="1"/>
  <c r="F70" i="24"/>
  <c r="F72" i="24" s="1"/>
  <c r="D18" i="22"/>
  <c r="E18" i="22" s="1"/>
  <c r="I18" i="22"/>
  <c r="J18" i="22" s="1"/>
  <c r="V18" i="22"/>
  <c r="W18" i="22"/>
  <c r="AB18" i="22" s="1"/>
  <c r="AC18" i="22" s="1"/>
  <c r="B20" i="23"/>
  <c r="C20" i="23"/>
  <c r="D20" i="23"/>
  <c r="E20" i="23"/>
  <c r="F20" i="23"/>
  <c r="B30" i="23"/>
  <c r="C30" i="23"/>
  <c r="D30" i="23"/>
  <c r="E30" i="23"/>
  <c r="F30" i="23"/>
  <c r="B39" i="23"/>
  <c r="C39" i="23"/>
  <c r="D39" i="23"/>
  <c r="E39" i="23"/>
  <c r="E43" i="23" s="1"/>
  <c r="F39" i="23"/>
  <c r="C43" i="23"/>
  <c r="B57" i="23"/>
  <c r="C57" i="23"/>
  <c r="D57" i="23"/>
  <c r="E57" i="23"/>
  <c r="F57" i="23"/>
  <c r="B63" i="23"/>
  <c r="C63" i="23"/>
  <c r="D63" i="23"/>
  <c r="E63" i="23"/>
  <c r="F63" i="23"/>
  <c r="B70" i="23"/>
  <c r="B72" i="23" s="1"/>
  <c r="C70" i="23"/>
  <c r="C72" i="23" s="1"/>
  <c r="D70" i="23"/>
  <c r="E70" i="23"/>
  <c r="F70" i="23"/>
  <c r="D72" i="23"/>
  <c r="D13" i="22"/>
  <c r="E13" i="22" s="1"/>
  <c r="I13" i="22"/>
  <c r="J13" i="22" s="1"/>
  <c r="V13" i="22"/>
  <c r="W13" i="22"/>
  <c r="AB13" i="22" s="1"/>
  <c r="D14" i="22"/>
  <c r="E14" i="22" s="1"/>
  <c r="I14" i="22"/>
  <c r="J14" i="22" s="1"/>
  <c r="V14" i="22"/>
  <c r="W14" i="22"/>
  <c r="D16" i="22"/>
  <c r="E16" i="22" s="1"/>
  <c r="I16" i="22"/>
  <c r="J16" i="22" s="1"/>
  <c r="V16" i="22"/>
  <c r="W16" i="22"/>
  <c r="AB16" i="22" s="1"/>
  <c r="AC16" i="22" s="1"/>
  <c r="D15" i="22"/>
  <c r="E15" i="22" s="1"/>
  <c r="I15" i="22"/>
  <c r="J15" i="22" s="1"/>
  <c r="V15" i="22"/>
  <c r="W15" i="22"/>
  <c r="AB15" i="22" s="1"/>
  <c r="AC15" i="22" s="1"/>
  <c r="D19" i="22"/>
  <c r="E19" i="22" s="1"/>
  <c r="I19" i="22"/>
  <c r="J19" i="22" s="1"/>
  <c r="V19" i="22"/>
  <c r="W19" i="22"/>
  <c r="D20" i="22"/>
  <c r="E20" i="22" s="1"/>
  <c r="I20" i="22"/>
  <c r="J20" i="22" s="1"/>
  <c r="V20" i="22"/>
  <c r="W20" i="22"/>
  <c r="AB20" i="22" s="1"/>
  <c r="AC20" i="22" s="1"/>
  <c r="D17" i="22"/>
  <c r="E17" i="22" s="1"/>
  <c r="I17" i="22"/>
  <c r="J17" i="22" s="1"/>
  <c r="V17" i="22"/>
  <c r="W17" i="22"/>
  <c r="AB17" i="22" s="1"/>
  <c r="AC17" i="22" s="1"/>
  <c r="D21" i="22"/>
  <c r="E21" i="22" s="1"/>
  <c r="I21" i="22"/>
  <c r="J21" i="22" s="1"/>
  <c r="V21" i="22"/>
  <c r="W21" i="22"/>
  <c r="D22" i="22"/>
  <c r="E22" i="22" s="1"/>
  <c r="I22" i="22"/>
  <c r="J22" i="22" s="1"/>
  <c r="V22" i="22"/>
  <c r="W22" i="22"/>
  <c r="B23" i="22"/>
  <c r="B27" i="22" s="1"/>
  <c r="C23" i="22"/>
  <c r="C27" i="22" s="1"/>
  <c r="G23" i="22"/>
  <c r="G27" i="22" s="1"/>
  <c r="H23" i="22"/>
  <c r="H27" i="22" s="1"/>
  <c r="AA23" i="22"/>
  <c r="AA27" i="22" s="1"/>
  <c r="D25" i="22"/>
  <c r="E25" i="22" s="1"/>
  <c r="I25" i="22"/>
  <c r="J25" i="22" s="1"/>
  <c r="V25" i="22"/>
  <c r="W25" i="22"/>
  <c r="D32" i="22"/>
  <c r="E32" i="22" s="1"/>
  <c r="I32" i="22"/>
  <c r="V32" i="22"/>
  <c r="W32" i="22"/>
  <c r="AB32" i="22" s="1"/>
  <c r="D33" i="22"/>
  <c r="E33" i="22" s="1"/>
  <c r="I33" i="22"/>
  <c r="J33" i="22" s="1"/>
  <c r="V33" i="22"/>
  <c r="W33" i="22"/>
  <c r="AB33" i="22" s="1"/>
  <c r="AC33" i="22" s="1"/>
  <c r="D36" i="22"/>
  <c r="E36" i="22" s="1"/>
  <c r="I36" i="22"/>
  <c r="J36" i="22" s="1"/>
  <c r="V36" i="22"/>
  <c r="W36" i="22"/>
  <c r="AB36" i="22" s="1"/>
  <c r="AC36" i="22" s="1"/>
  <c r="D38" i="22"/>
  <c r="E38" i="22" s="1"/>
  <c r="I38" i="22"/>
  <c r="J38" i="22" s="1"/>
  <c r="V38" i="22"/>
  <c r="W38" i="22"/>
  <c r="AB38" i="22" s="1"/>
  <c r="AC38" i="22" s="1"/>
  <c r="D34" i="22"/>
  <c r="E34" i="22" s="1"/>
  <c r="I34" i="22"/>
  <c r="J34" i="22" s="1"/>
  <c r="V34" i="22"/>
  <c r="W34" i="22"/>
  <c r="AB34" i="22" s="1"/>
  <c r="AC34" i="22" s="1"/>
  <c r="D35" i="22"/>
  <c r="E35" i="22" s="1"/>
  <c r="I35" i="22"/>
  <c r="J35" i="22" s="1"/>
  <c r="V35" i="22"/>
  <c r="W35" i="22"/>
  <c r="AB35" i="22" s="1"/>
  <c r="AC35" i="22" s="1"/>
  <c r="D39" i="22"/>
  <c r="E39" i="22" s="1"/>
  <c r="I39" i="22"/>
  <c r="J39" i="22" s="1"/>
  <c r="V39" i="22"/>
  <c r="W39" i="22"/>
  <c r="AB39" i="22" s="1"/>
  <c r="AC39" i="22" s="1"/>
  <c r="B40" i="22"/>
  <c r="C40" i="22"/>
  <c r="G40" i="22"/>
  <c r="H40" i="22"/>
  <c r="AA40" i="22"/>
  <c r="D43" i="22"/>
  <c r="E43" i="22" s="1"/>
  <c r="I43" i="22"/>
  <c r="J43" i="22" s="1"/>
  <c r="V43" i="22"/>
  <c r="W43" i="22"/>
  <c r="AB43" i="22" s="1"/>
  <c r="D44" i="22"/>
  <c r="E44" i="22" s="1"/>
  <c r="I44" i="22"/>
  <c r="J44" i="22" s="1"/>
  <c r="V44" i="22"/>
  <c r="W44" i="22"/>
  <c r="AB44" i="22" s="1"/>
  <c r="AC44" i="22" s="1"/>
  <c r="D45" i="22"/>
  <c r="E45" i="22" s="1"/>
  <c r="I45" i="22"/>
  <c r="J45" i="22" s="1"/>
  <c r="V45" i="22"/>
  <c r="W45" i="22"/>
  <c r="D46" i="22"/>
  <c r="E46" i="22" s="1"/>
  <c r="I46" i="22"/>
  <c r="J46" i="22" s="1"/>
  <c r="V46" i="22"/>
  <c r="W46" i="22"/>
  <c r="AB46" i="22" s="1"/>
  <c r="AC46" i="22" s="1"/>
  <c r="D47" i="22"/>
  <c r="E47" i="22" s="1"/>
  <c r="I47" i="22"/>
  <c r="J47" i="22" s="1"/>
  <c r="V47" i="22"/>
  <c r="W47" i="22"/>
  <c r="AB47" i="22" s="1"/>
  <c r="AC47" i="22" s="1"/>
  <c r="D48" i="22"/>
  <c r="E48" i="22" s="1"/>
  <c r="I48" i="22"/>
  <c r="J48" i="22" s="1"/>
  <c r="V48" i="22"/>
  <c r="W48" i="22"/>
  <c r="AB48" i="22" s="1"/>
  <c r="AC48" i="22" s="1"/>
  <c r="D49" i="22"/>
  <c r="E49" i="22" s="1"/>
  <c r="I49" i="22"/>
  <c r="J49" i="22" s="1"/>
  <c r="V49" i="22"/>
  <c r="W49" i="22"/>
  <c r="D50" i="22"/>
  <c r="E50" i="22" s="1"/>
  <c r="I50" i="22"/>
  <c r="J50" i="22" s="1"/>
  <c r="V50" i="22"/>
  <c r="W50" i="22"/>
  <c r="AB50" i="22" s="1"/>
  <c r="AC50" i="22" s="1"/>
  <c r="D51" i="22"/>
  <c r="E51" i="22" s="1"/>
  <c r="I51" i="22"/>
  <c r="J51" i="22" s="1"/>
  <c r="V51" i="22"/>
  <c r="W51" i="22"/>
  <c r="AB51" i="22" s="1"/>
  <c r="AC51" i="22" s="1"/>
  <c r="D52" i="22"/>
  <c r="E52" i="22" s="1"/>
  <c r="I52" i="22"/>
  <c r="J52" i="22" s="1"/>
  <c r="V52" i="22"/>
  <c r="W52" i="22"/>
  <c r="AC52" i="22"/>
  <c r="D53" i="22"/>
  <c r="E53" i="22" s="1"/>
  <c r="I53" i="22"/>
  <c r="J53" i="22" s="1"/>
  <c r="V53" i="22"/>
  <c r="W53" i="22"/>
  <c r="AB53" i="22" s="1"/>
  <c r="AC53" i="22" s="1"/>
  <c r="D54" i="22"/>
  <c r="E54" i="22" s="1"/>
  <c r="I54" i="22"/>
  <c r="J54" i="22" s="1"/>
  <c r="V54" i="22"/>
  <c r="W54" i="22"/>
  <c r="AB54" i="22" s="1"/>
  <c r="AC54" i="22" s="1"/>
  <c r="D55" i="22"/>
  <c r="E55" i="22" s="1"/>
  <c r="I55" i="22"/>
  <c r="J55" i="22"/>
  <c r="V55" i="22"/>
  <c r="W55" i="22"/>
  <c r="AB55" i="22" s="1"/>
  <c r="AC55" i="22" s="1"/>
  <c r="D56" i="22"/>
  <c r="E56" i="22" s="1"/>
  <c r="I56" i="22"/>
  <c r="V56" i="22"/>
  <c r="W56" i="22"/>
  <c r="AB56" i="22" s="1"/>
  <c r="AC56" i="22" s="1"/>
  <c r="D57" i="22"/>
  <c r="E57" i="22" s="1"/>
  <c r="I57" i="22"/>
  <c r="J57" i="22" s="1"/>
  <c r="V57" i="22"/>
  <c r="W57" i="22"/>
  <c r="AB57" i="22" s="1"/>
  <c r="AC57" i="22" s="1"/>
  <c r="D58" i="22"/>
  <c r="E58" i="22" s="1"/>
  <c r="I58" i="22"/>
  <c r="J58" i="22" s="1"/>
  <c r="V58" i="22"/>
  <c r="W58" i="22"/>
  <c r="AB58" i="22" s="1"/>
  <c r="AC58" i="22" s="1"/>
  <c r="D59" i="22"/>
  <c r="E59" i="22" s="1"/>
  <c r="I59" i="22"/>
  <c r="J59" i="22" s="1"/>
  <c r="V59" i="22"/>
  <c r="W59" i="22"/>
  <c r="AB59" i="22" s="1"/>
  <c r="AC59" i="22" s="1"/>
  <c r="D60" i="22"/>
  <c r="E60" i="22" s="1"/>
  <c r="I60" i="22"/>
  <c r="J60" i="22" s="1"/>
  <c r="V60" i="22"/>
  <c r="W60" i="22"/>
  <c r="AB60" i="22" s="1"/>
  <c r="AC60" i="22" s="1"/>
  <c r="D61" i="22"/>
  <c r="E61" i="22" s="1"/>
  <c r="I61" i="22"/>
  <c r="J61" i="22" s="1"/>
  <c r="V61" i="22"/>
  <c r="W61" i="22"/>
  <c r="AB61" i="22" s="1"/>
  <c r="AC61" i="22" s="1"/>
  <c r="D62" i="22"/>
  <c r="E62" i="22" s="1"/>
  <c r="I62" i="22"/>
  <c r="J62" i="22" s="1"/>
  <c r="V62" i="22"/>
  <c r="W62" i="22"/>
  <c r="AB62" i="22" s="1"/>
  <c r="AC62" i="22" s="1"/>
  <c r="D64" i="22"/>
  <c r="E64" i="22" s="1"/>
  <c r="I64" i="22"/>
  <c r="J64" i="22" s="1"/>
  <c r="V64" i="22"/>
  <c r="W64" i="22"/>
  <c r="AB64" i="22" s="1"/>
  <c r="AC64" i="22" s="1"/>
  <c r="D65" i="22"/>
  <c r="E65" i="22" s="1"/>
  <c r="I65" i="22"/>
  <c r="J65" i="22" s="1"/>
  <c r="V65" i="22"/>
  <c r="W65" i="22"/>
  <c r="AB65" i="22" s="1"/>
  <c r="AC65" i="22" s="1"/>
  <c r="D68" i="22"/>
  <c r="E68" i="22" s="1"/>
  <c r="I68" i="22"/>
  <c r="J68" i="22" s="1"/>
  <c r="V68" i="22"/>
  <c r="W68" i="22"/>
  <c r="AB68" i="22" s="1"/>
  <c r="AC68" i="22" s="1"/>
  <c r="D69" i="22"/>
  <c r="E69" i="22" s="1"/>
  <c r="I69" i="22"/>
  <c r="J69" i="22" s="1"/>
  <c r="V69" i="22"/>
  <c r="W69" i="22"/>
  <c r="AB69" i="22" s="1"/>
  <c r="AC69" i="22" s="1"/>
  <c r="D71" i="22"/>
  <c r="E71" i="22" s="1"/>
  <c r="I71" i="22"/>
  <c r="J71" i="22" s="1"/>
  <c r="V71" i="22"/>
  <c r="W71" i="22"/>
  <c r="AB71" i="22" s="1"/>
  <c r="AC71" i="22" s="1"/>
  <c r="D72" i="22"/>
  <c r="E72" i="22" s="1"/>
  <c r="I72" i="22"/>
  <c r="J72" i="22" s="1"/>
  <c r="V72" i="22"/>
  <c r="W72" i="22"/>
  <c r="AB72" i="22" s="1"/>
  <c r="AC72" i="22" s="1"/>
  <c r="D73" i="22"/>
  <c r="E73" i="22" s="1"/>
  <c r="I73" i="22"/>
  <c r="J73" i="22" s="1"/>
  <c r="V73" i="22"/>
  <c r="W73" i="22"/>
  <c r="AB73" i="22" s="1"/>
  <c r="AC73" i="22" s="1"/>
  <c r="D74" i="22"/>
  <c r="E74" i="22" s="1"/>
  <c r="I74" i="22"/>
  <c r="J74" i="22" s="1"/>
  <c r="X74" i="22"/>
  <c r="Y74" i="22" s="1"/>
  <c r="AB74" i="22"/>
  <c r="AC74" i="22" s="1"/>
  <c r="D75" i="22"/>
  <c r="E75" i="22" s="1"/>
  <c r="I75" i="22"/>
  <c r="J75" i="22" s="1"/>
  <c r="V75" i="22"/>
  <c r="W75" i="22"/>
  <c r="AB75" i="22" s="1"/>
  <c r="AC75" i="22" s="1"/>
  <c r="B76" i="22"/>
  <c r="C76" i="22"/>
  <c r="G76" i="22"/>
  <c r="H76" i="22"/>
  <c r="AA76" i="22"/>
  <c r="D82" i="22"/>
  <c r="E82" i="22" s="1"/>
  <c r="I82" i="22"/>
  <c r="J82" i="22" s="1"/>
  <c r="V82" i="22"/>
  <c r="W82" i="22"/>
  <c r="F72" i="23" l="1"/>
  <c r="E72" i="23"/>
  <c r="B43" i="23"/>
  <c r="F43" i="23"/>
  <c r="D43" i="23"/>
  <c r="C72" i="24"/>
  <c r="B72" i="24"/>
  <c r="C39" i="24"/>
  <c r="C43" i="24"/>
  <c r="D43" i="24"/>
  <c r="B43" i="24"/>
  <c r="X36" i="22"/>
  <c r="Y36" i="22" s="1"/>
  <c r="B78" i="22"/>
  <c r="B80" i="22" s="1"/>
  <c r="B84" i="22" s="1"/>
  <c r="X14" i="22"/>
  <c r="Y14" i="22" s="1"/>
  <c r="C78" i="22"/>
  <c r="C80" i="22" s="1"/>
  <c r="C84" i="22" s="1"/>
  <c r="X54" i="22"/>
  <c r="Y54" i="22" s="1"/>
  <c r="AA78" i="22"/>
  <c r="AA80" i="22" s="1"/>
  <c r="X69" i="22"/>
  <c r="Y69" i="22" s="1"/>
  <c r="X18" i="22"/>
  <c r="Y18" i="22" s="1"/>
  <c r="X13" i="22"/>
  <c r="Y13" i="22" s="1"/>
  <c r="G78" i="22"/>
  <c r="G80" i="22" s="1"/>
  <c r="G84" i="22" s="1"/>
  <c r="X48" i="22"/>
  <c r="Y48" i="22" s="1"/>
  <c r="X72" i="22"/>
  <c r="Y72" i="22" s="1"/>
  <c r="X44" i="22"/>
  <c r="Y44" i="22" s="1"/>
  <c r="X22" i="22"/>
  <c r="Y22" i="22" s="1"/>
  <c r="X17" i="22"/>
  <c r="Y17" i="22" s="1"/>
  <c r="V76" i="22"/>
  <c r="X68" i="22"/>
  <c r="Y68" i="22" s="1"/>
  <c r="X57" i="22"/>
  <c r="Y57" i="22" s="1"/>
  <c r="X73" i="22"/>
  <c r="Y73" i="22" s="1"/>
  <c r="X60" i="22"/>
  <c r="Y60" i="22" s="1"/>
  <c r="X46" i="22"/>
  <c r="Y46" i="22" s="1"/>
  <c r="X35" i="22"/>
  <c r="Y35" i="22" s="1"/>
  <c r="X58" i="22"/>
  <c r="Y58" i="22" s="1"/>
  <c r="X53" i="22"/>
  <c r="Y53" i="22" s="1"/>
  <c r="X50" i="22"/>
  <c r="Y50" i="22" s="1"/>
  <c r="H78" i="22"/>
  <c r="H80" i="22" s="1"/>
  <c r="H84" i="22" s="1"/>
  <c r="X65" i="22"/>
  <c r="Y65" i="22" s="1"/>
  <c r="X62" i="22"/>
  <c r="Y62" i="22" s="1"/>
  <c r="X75" i="22"/>
  <c r="Y75" i="22" s="1"/>
  <c r="X33" i="22"/>
  <c r="Y33" i="22" s="1"/>
  <c r="X61" i="22"/>
  <c r="Y61" i="22" s="1"/>
  <c r="X56" i="22"/>
  <c r="Y56" i="22" s="1"/>
  <c r="W40" i="22"/>
  <c r="X16" i="22"/>
  <c r="Y16" i="22" s="1"/>
  <c r="X71" i="22"/>
  <c r="Y71" i="22" s="1"/>
  <c r="X64" i="22"/>
  <c r="Y64" i="22" s="1"/>
  <c r="X59" i="22"/>
  <c r="Y59" i="22" s="1"/>
  <c r="X55" i="22"/>
  <c r="Y55" i="22" s="1"/>
  <c r="X51" i="22"/>
  <c r="Y51" i="22" s="1"/>
  <c r="X47" i="22"/>
  <c r="Y47" i="22" s="1"/>
  <c r="X43" i="22"/>
  <c r="D40" i="22"/>
  <c r="E40" i="22" s="1"/>
  <c r="X38" i="22"/>
  <c r="Y38" i="22" s="1"/>
  <c r="X32" i="22"/>
  <c r="Y32" i="22" s="1"/>
  <c r="V23" i="22"/>
  <c r="V27" i="22" s="1"/>
  <c r="I40" i="22"/>
  <c r="J40" i="22" s="1"/>
  <c r="X52" i="22"/>
  <c r="Y52" i="22" s="1"/>
  <c r="X49" i="22"/>
  <c r="Y49" i="22" s="1"/>
  <c r="X45" i="22"/>
  <c r="Y45" i="22" s="1"/>
  <c r="I23" i="22"/>
  <c r="I27" i="22" s="1"/>
  <c r="J27" i="22" s="1"/>
  <c r="X21" i="22"/>
  <c r="Y21" i="22" s="1"/>
  <c r="X20" i="22"/>
  <c r="Y20" i="22" s="1"/>
  <c r="X15" i="22"/>
  <c r="Y15" i="22" s="1"/>
  <c r="X19" i="22"/>
  <c r="Y19" i="22" s="1"/>
  <c r="X82" i="22"/>
  <c r="Y82" i="22" s="1"/>
  <c r="I76" i="22"/>
  <c r="J76" i="22" s="1"/>
  <c r="X39" i="22"/>
  <c r="Y39" i="22" s="1"/>
  <c r="X34" i="22"/>
  <c r="Y34" i="22" s="1"/>
  <c r="AB22" i="22"/>
  <c r="AC22" i="22" s="1"/>
  <c r="AB14" i="22"/>
  <c r="AC14" i="22" s="1"/>
  <c r="AC43" i="22"/>
  <c r="AC13" i="22"/>
  <c r="AB40" i="22"/>
  <c r="D76" i="22"/>
  <c r="E76" i="22" s="1"/>
  <c r="W76" i="22"/>
  <c r="J56" i="22"/>
  <c r="AB49" i="22"/>
  <c r="AC49" i="22" s="1"/>
  <c r="AB45" i="22"/>
  <c r="AC45" i="22" s="1"/>
  <c r="J32" i="22"/>
  <c r="AC32" i="22"/>
  <c r="V40" i="22"/>
  <c r="AA82" i="22"/>
  <c r="AB82" i="22" s="1"/>
  <c r="AC82" i="22" s="1"/>
  <c r="D23" i="22"/>
  <c r="AB21" i="22"/>
  <c r="AC21" i="22" s="1"/>
  <c r="AB19" i="22"/>
  <c r="AC19" i="22" s="1"/>
  <c r="W23" i="22"/>
  <c r="W27" i="22" s="1"/>
  <c r="AB27" i="22" s="1"/>
  <c r="V78" i="22" l="1"/>
  <c r="V80" i="22" s="1"/>
  <c r="V84" i="22" s="1"/>
  <c r="W78" i="22"/>
  <c r="W80" i="22" s="1"/>
  <c r="W84" i="22" s="1"/>
  <c r="X40" i="22"/>
  <c r="Y40" i="22" s="1"/>
  <c r="X76" i="22"/>
  <c r="Y76" i="22" s="1"/>
  <c r="D78" i="22"/>
  <c r="E78" i="22" s="1"/>
  <c r="J23" i="22"/>
  <c r="X23" i="22"/>
  <c r="Y23" i="22" s="1"/>
  <c r="I78" i="22"/>
  <c r="Y43" i="22"/>
  <c r="AB23" i="22"/>
  <c r="AC23" i="22" s="1"/>
  <c r="AC40" i="22"/>
  <c r="AA84" i="22"/>
  <c r="E23" i="22"/>
  <c r="D27" i="22"/>
  <c r="AC27" i="22"/>
  <c r="AB76" i="22"/>
  <c r="AC76" i="22" s="1"/>
  <c r="X78" i="22" l="1"/>
  <c r="Y78" i="22" s="1"/>
  <c r="X27" i="22"/>
  <c r="J78" i="22"/>
  <c r="I80" i="22"/>
  <c r="AB84" i="22"/>
  <c r="AC84" i="22" s="1"/>
  <c r="E27" i="22"/>
  <c r="D80" i="22"/>
  <c r="AB78" i="22"/>
  <c r="AB80" i="22" s="1"/>
  <c r="X80" i="22" l="1"/>
  <c r="Y80" i="22" s="1"/>
  <c r="Y27" i="22"/>
  <c r="J80" i="22"/>
  <c r="I84" i="22"/>
  <c r="J84" i="22" s="1"/>
  <c r="AC78" i="22"/>
  <c r="AC80" i="22"/>
  <c r="D84" i="22"/>
  <c r="E84" i="22" s="1"/>
  <c r="E80" i="22"/>
  <c r="X84" i="22" l="1"/>
  <c r="Y84" i="22" s="1"/>
  <c r="Y63" i="3" l="1"/>
  <c r="Y65" i="3"/>
  <c r="Y67" i="3"/>
  <c r="Y70" i="3"/>
  <c r="AC52" i="3"/>
  <c r="AC63" i="3"/>
  <c r="AC65" i="3"/>
  <c r="AC67" i="3"/>
  <c r="AC70" i="3"/>
  <c r="E63" i="3"/>
  <c r="E65" i="3"/>
  <c r="E67" i="3"/>
  <c r="E70" i="3"/>
  <c r="J63" i="3"/>
  <c r="J65" i="3"/>
  <c r="J67" i="3"/>
  <c r="J70" i="3"/>
  <c r="AC64" i="6"/>
  <c r="AC66" i="6"/>
  <c r="AC70" i="6"/>
  <c r="Y64" i="6"/>
  <c r="Y66" i="6"/>
  <c r="Y70" i="6"/>
  <c r="AC38" i="6"/>
  <c r="Y38" i="6"/>
  <c r="I18" i="16"/>
  <c r="J18" i="16" s="1"/>
  <c r="I19" i="16"/>
  <c r="J19" i="16" s="1"/>
  <c r="W71" i="10"/>
  <c r="AA76" i="10"/>
  <c r="I44" i="10"/>
  <c r="I45" i="10"/>
  <c r="I46" i="10"/>
  <c r="I49" i="10"/>
  <c r="I50" i="10"/>
  <c r="I51" i="10"/>
  <c r="I52" i="10"/>
  <c r="I54" i="10"/>
  <c r="D44" i="10"/>
  <c r="D45" i="10"/>
  <c r="D46" i="10"/>
  <c r="D48" i="10"/>
  <c r="D49" i="10"/>
  <c r="D50" i="10"/>
  <c r="D51" i="10"/>
  <c r="D52" i="10"/>
  <c r="D53" i="10"/>
  <c r="D54" i="10"/>
  <c r="D33" i="10"/>
  <c r="D38" i="10"/>
  <c r="I33" i="10"/>
  <c r="I38" i="10"/>
  <c r="E50" i="13"/>
  <c r="J50" i="13"/>
  <c r="Y50" i="13"/>
  <c r="AA50" i="13"/>
  <c r="AA22" i="13"/>
  <c r="AB22" i="27" s="1"/>
  <c r="AC22" i="27" s="1"/>
  <c r="AC50" i="13" l="1"/>
  <c r="AC50" i="27"/>
  <c r="B20" i="19"/>
  <c r="C20" i="19"/>
  <c r="D20" i="19"/>
  <c r="E20" i="19"/>
  <c r="F20" i="19"/>
  <c r="B30" i="19"/>
  <c r="C30" i="19"/>
  <c r="D30" i="19"/>
  <c r="E30" i="19"/>
  <c r="F30" i="19"/>
  <c r="B39" i="19"/>
  <c r="C39" i="19"/>
  <c r="D39" i="19"/>
  <c r="E39" i="19"/>
  <c r="F39" i="19"/>
  <c r="E43" i="19"/>
  <c r="B57" i="19"/>
  <c r="C57" i="19"/>
  <c r="D57" i="19"/>
  <c r="E57" i="19"/>
  <c r="F57" i="19"/>
  <c r="B63" i="19"/>
  <c r="C63" i="19"/>
  <c r="D63" i="19"/>
  <c r="E63" i="19"/>
  <c r="F63" i="19"/>
  <c r="B70" i="19"/>
  <c r="B72" i="19" s="1"/>
  <c r="C70" i="19"/>
  <c r="D70" i="19"/>
  <c r="E70" i="19"/>
  <c r="F70" i="19"/>
  <c r="F72" i="19" s="1"/>
  <c r="E72" i="19"/>
  <c r="C72" i="19" l="1"/>
  <c r="D72" i="19"/>
  <c r="F43" i="19"/>
  <c r="D43" i="19"/>
  <c r="C43" i="19"/>
  <c r="B43" i="19"/>
  <c r="F70" i="18"/>
  <c r="F63" i="18"/>
  <c r="F57" i="18"/>
  <c r="F39" i="18"/>
  <c r="F30" i="18"/>
  <c r="F20" i="18"/>
  <c r="D69" i="18"/>
  <c r="I69" i="18" s="1"/>
  <c r="D63" i="18"/>
  <c r="D56" i="18"/>
  <c r="I56" i="18" s="1"/>
  <c r="D38" i="18"/>
  <c r="I38" i="18" s="1"/>
  <c r="D33" i="18"/>
  <c r="I33" i="18" s="1"/>
  <c r="D30" i="18"/>
  <c r="D20" i="18"/>
  <c r="J70" i="18"/>
  <c r="J63" i="18"/>
  <c r="J57" i="18"/>
  <c r="J39" i="18"/>
  <c r="J30" i="18"/>
  <c r="J20" i="18"/>
  <c r="C70" i="18"/>
  <c r="C63" i="18"/>
  <c r="C57" i="18"/>
  <c r="C39" i="18"/>
  <c r="C30" i="18"/>
  <c r="C20" i="18"/>
  <c r="D70" i="18" l="1"/>
  <c r="I70" i="18" s="1"/>
  <c r="D57" i="18"/>
  <c r="J43" i="18"/>
  <c r="D39" i="18"/>
  <c r="F72" i="18"/>
  <c r="J72" i="18"/>
  <c r="C72" i="18"/>
  <c r="C43" i="18"/>
  <c r="F43" i="18"/>
  <c r="D43" i="18" l="1"/>
  <c r="I39" i="18"/>
  <c r="D72" i="18"/>
  <c r="B61" i="18"/>
  <c r="I61" i="18" s="1"/>
  <c r="B60" i="18"/>
  <c r="B57" i="18"/>
  <c r="I57" i="18" s="1"/>
  <c r="B30" i="18"/>
  <c r="I30" i="18" s="1"/>
  <c r="B20" i="18"/>
  <c r="D13" i="16"/>
  <c r="E13" i="16"/>
  <c r="I13" i="16"/>
  <c r="J13" i="16"/>
  <c r="S13" i="16"/>
  <c r="T13" i="16" s="1"/>
  <c r="V13" i="16"/>
  <c r="W13" i="16"/>
  <c r="AB13" i="16"/>
  <c r="AC13" i="16" s="1"/>
  <c r="D14" i="16"/>
  <c r="E14" i="16"/>
  <c r="I14" i="16"/>
  <c r="J14" i="16"/>
  <c r="S14" i="16"/>
  <c r="T14" i="16" s="1"/>
  <c r="V14" i="16"/>
  <c r="W14" i="16"/>
  <c r="D15" i="16"/>
  <c r="E15" i="16" s="1"/>
  <c r="I15" i="16"/>
  <c r="J15" i="16"/>
  <c r="S15" i="16"/>
  <c r="T15" i="16"/>
  <c r="V15" i="16"/>
  <c r="W15" i="16"/>
  <c r="D16" i="16"/>
  <c r="E16" i="16"/>
  <c r="I16" i="16"/>
  <c r="J16" i="16"/>
  <c r="S16" i="16"/>
  <c r="T16" i="16"/>
  <c r="V16" i="16"/>
  <c r="W16" i="16"/>
  <c r="AB16" i="16" s="1"/>
  <c r="AC16" i="16" s="1"/>
  <c r="D17" i="16"/>
  <c r="E17" i="16"/>
  <c r="I17" i="16"/>
  <c r="J17" i="16"/>
  <c r="S17" i="16"/>
  <c r="T17" i="16" s="1"/>
  <c r="V17" i="16"/>
  <c r="D18" i="16"/>
  <c r="E18" i="16" s="1"/>
  <c r="S18" i="16"/>
  <c r="T18" i="16" s="1"/>
  <c r="V18" i="16"/>
  <c r="W18" i="16"/>
  <c r="AB18" i="16" s="1"/>
  <c r="AC18" i="16" s="1"/>
  <c r="D19" i="16"/>
  <c r="E19" i="16" s="1"/>
  <c r="S19" i="16"/>
  <c r="T19" i="16"/>
  <c r="V19" i="16"/>
  <c r="W19" i="16"/>
  <c r="X19" i="16" s="1"/>
  <c r="Y19" i="16" s="1"/>
  <c r="D20" i="16"/>
  <c r="E20" i="16" s="1"/>
  <c r="I20" i="16"/>
  <c r="J20" i="16" s="1"/>
  <c r="S20" i="16"/>
  <c r="T20" i="16"/>
  <c r="V20" i="16"/>
  <c r="W20" i="16"/>
  <c r="D21" i="16"/>
  <c r="E21" i="16"/>
  <c r="I21" i="16"/>
  <c r="J21" i="16" s="1"/>
  <c r="S21" i="16"/>
  <c r="T21" i="16"/>
  <c r="V21" i="16"/>
  <c r="W21" i="16"/>
  <c r="AB21" i="16" s="1"/>
  <c r="AC21" i="16" s="1"/>
  <c r="D22" i="16"/>
  <c r="E22" i="16"/>
  <c r="I22" i="16"/>
  <c r="J22" i="16"/>
  <c r="S22" i="16"/>
  <c r="T22" i="16"/>
  <c r="V22" i="16"/>
  <c r="W22" i="16"/>
  <c r="AB22" i="16"/>
  <c r="AC22" i="16" s="1"/>
  <c r="B23" i="16"/>
  <c r="B27" i="16" s="1"/>
  <c r="C23" i="16"/>
  <c r="C27" i="16" s="1"/>
  <c r="G23" i="16"/>
  <c r="H23" i="16"/>
  <c r="H27" i="16" s="1"/>
  <c r="Q23" i="16"/>
  <c r="R23" i="16"/>
  <c r="R27" i="16" s="1"/>
  <c r="S23" i="16"/>
  <c r="T23" i="16" s="1"/>
  <c r="AA23" i="16"/>
  <c r="AA27" i="16" s="1"/>
  <c r="T24" i="16"/>
  <c r="D25" i="16"/>
  <c r="E25" i="16"/>
  <c r="I25" i="16"/>
  <c r="J25" i="16"/>
  <c r="S25" i="16"/>
  <c r="T25" i="16" s="1"/>
  <c r="V25" i="16"/>
  <c r="W25" i="16"/>
  <c r="T26" i="16"/>
  <c r="G27" i="16"/>
  <c r="Q27" i="16"/>
  <c r="D32" i="16"/>
  <c r="E32" i="16"/>
  <c r="I32" i="16"/>
  <c r="J32" i="16"/>
  <c r="S32" i="16"/>
  <c r="T32" i="16"/>
  <c r="V32" i="16"/>
  <c r="W32" i="16"/>
  <c r="AB32" i="16"/>
  <c r="AC32" i="16" s="1"/>
  <c r="D33" i="16"/>
  <c r="E33" i="16"/>
  <c r="I33" i="16"/>
  <c r="J33" i="16"/>
  <c r="S33" i="16"/>
  <c r="T33" i="16" s="1"/>
  <c r="V33" i="16"/>
  <c r="W33" i="16"/>
  <c r="AB33" i="16" s="1"/>
  <c r="AC33" i="16" s="1"/>
  <c r="D34" i="16"/>
  <c r="E34" i="16"/>
  <c r="I34" i="16"/>
  <c r="J34" i="16"/>
  <c r="S34" i="16"/>
  <c r="T34" i="16"/>
  <c r="V34" i="16"/>
  <c r="W34" i="16"/>
  <c r="AB34" i="16" s="1"/>
  <c r="AC34" i="16" s="1"/>
  <c r="D35" i="16"/>
  <c r="E35" i="16"/>
  <c r="I35" i="16"/>
  <c r="J35" i="16"/>
  <c r="S35" i="16"/>
  <c r="T35" i="16"/>
  <c r="V35" i="16"/>
  <c r="W35" i="16"/>
  <c r="AB35" i="16" s="1"/>
  <c r="AC35" i="16" s="1"/>
  <c r="D36" i="16"/>
  <c r="E36" i="16"/>
  <c r="I36" i="16"/>
  <c r="J36" i="16"/>
  <c r="S36" i="16"/>
  <c r="T36" i="16"/>
  <c r="V36" i="16"/>
  <c r="W36" i="16"/>
  <c r="AB36" i="16" s="1"/>
  <c r="AC36" i="16" s="1"/>
  <c r="D37" i="16"/>
  <c r="E37" i="16"/>
  <c r="I37" i="16"/>
  <c r="J37" i="16"/>
  <c r="S37" i="16"/>
  <c r="T37" i="16" s="1"/>
  <c r="V37" i="16"/>
  <c r="W37" i="16"/>
  <c r="AB37" i="16" s="1"/>
  <c r="AC37" i="16" s="1"/>
  <c r="D38" i="16"/>
  <c r="E38" i="16"/>
  <c r="I38" i="16"/>
  <c r="J38" i="16"/>
  <c r="S38" i="16"/>
  <c r="T38" i="16"/>
  <c r="V38" i="16"/>
  <c r="W38" i="16"/>
  <c r="AB38" i="16" s="1"/>
  <c r="AC38" i="16" s="1"/>
  <c r="B40" i="16"/>
  <c r="C40" i="16"/>
  <c r="D40" i="16"/>
  <c r="E40" i="16"/>
  <c r="G40" i="16"/>
  <c r="H40" i="16"/>
  <c r="Q40" i="16"/>
  <c r="R40" i="16"/>
  <c r="AA40" i="16"/>
  <c r="D43" i="16"/>
  <c r="E43" i="16" s="1"/>
  <c r="I43" i="16"/>
  <c r="J43" i="16"/>
  <c r="S43" i="16"/>
  <c r="T43" i="16"/>
  <c r="V43" i="16"/>
  <c r="W43" i="16"/>
  <c r="AB43" i="16" s="1"/>
  <c r="AC43" i="16" s="1"/>
  <c r="D44" i="16"/>
  <c r="E44" i="16"/>
  <c r="I44" i="16"/>
  <c r="J44" i="16"/>
  <c r="S44" i="16"/>
  <c r="T44" i="16"/>
  <c r="V44" i="16"/>
  <c r="W44" i="16"/>
  <c r="AB44" i="16" s="1"/>
  <c r="AC44" i="16" s="1"/>
  <c r="D45" i="16"/>
  <c r="E45" i="16"/>
  <c r="I45" i="16"/>
  <c r="J45" i="16" s="1"/>
  <c r="S45" i="16"/>
  <c r="T45" i="16"/>
  <c r="V45" i="16"/>
  <c r="W45" i="16"/>
  <c r="AB45" i="16" s="1"/>
  <c r="AC45" i="16" s="1"/>
  <c r="X45" i="16"/>
  <c r="Y45" i="16" s="1"/>
  <c r="D46" i="16"/>
  <c r="E46" i="16"/>
  <c r="I46" i="16"/>
  <c r="J46" i="16"/>
  <c r="S46" i="16"/>
  <c r="T46" i="16"/>
  <c r="V46" i="16"/>
  <c r="W46" i="16"/>
  <c r="AB46" i="16"/>
  <c r="AC46" i="16" s="1"/>
  <c r="D47" i="16"/>
  <c r="E47" i="16"/>
  <c r="I47" i="16"/>
  <c r="J47" i="16"/>
  <c r="S47" i="16"/>
  <c r="T47" i="16" s="1"/>
  <c r="V47" i="16"/>
  <c r="W47" i="16"/>
  <c r="AB47" i="16" s="1"/>
  <c r="AC47" i="16" s="1"/>
  <c r="D48" i="16"/>
  <c r="E48" i="16"/>
  <c r="I48" i="16"/>
  <c r="J48" i="16"/>
  <c r="S48" i="16"/>
  <c r="T48" i="16"/>
  <c r="V48" i="16"/>
  <c r="W48" i="16"/>
  <c r="AB48" i="16" s="1"/>
  <c r="AC48" i="16" s="1"/>
  <c r="D49" i="16"/>
  <c r="E49" i="16"/>
  <c r="I49" i="16"/>
  <c r="J49" i="16"/>
  <c r="S49" i="16"/>
  <c r="T49" i="16"/>
  <c r="V49" i="16"/>
  <c r="W49" i="16"/>
  <c r="AB49" i="16" s="1"/>
  <c r="AC49" i="16" s="1"/>
  <c r="D50" i="16"/>
  <c r="E50" i="16"/>
  <c r="I50" i="16"/>
  <c r="J50" i="16"/>
  <c r="S50" i="16"/>
  <c r="T50" i="16"/>
  <c r="V50" i="16"/>
  <c r="W50" i="16"/>
  <c r="AB50" i="16" s="1"/>
  <c r="AC50" i="16" s="1"/>
  <c r="D51" i="16"/>
  <c r="E51" i="16"/>
  <c r="I51" i="16"/>
  <c r="J51" i="16"/>
  <c r="S51" i="16"/>
  <c r="T51" i="16" s="1"/>
  <c r="V51" i="16"/>
  <c r="W51" i="16"/>
  <c r="AB51" i="16" s="1"/>
  <c r="AC51" i="16" s="1"/>
  <c r="D52" i="16"/>
  <c r="E52" i="16"/>
  <c r="I52" i="16"/>
  <c r="J52" i="16"/>
  <c r="S52" i="16"/>
  <c r="T52" i="16"/>
  <c r="V52" i="16"/>
  <c r="W52" i="16"/>
  <c r="D53" i="16"/>
  <c r="E53" i="16" s="1"/>
  <c r="I53" i="16"/>
  <c r="J53" i="16"/>
  <c r="S53" i="16"/>
  <c r="T53" i="16" s="1"/>
  <c r="V53" i="16"/>
  <c r="W53" i="16"/>
  <c r="X53" i="16" s="1"/>
  <c r="Y53" i="16" s="1"/>
  <c r="D54" i="16"/>
  <c r="E54" i="16" s="1"/>
  <c r="I54" i="16"/>
  <c r="J54" i="16" s="1"/>
  <c r="S54" i="16"/>
  <c r="T54" i="16" s="1"/>
  <c r="V54" i="16"/>
  <c r="W54" i="16"/>
  <c r="AB54" i="16"/>
  <c r="AC54" i="16" s="1"/>
  <c r="D55" i="16"/>
  <c r="E55" i="16" s="1"/>
  <c r="I55" i="16"/>
  <c r="J55" i="16" s="1"/>
  <c r="S55" i="16"/>
  <c r="T55" i="16" s="1"/>
  <c r="V55" i="16"/>
  <c r="W55" i="16"/>
  <c r="AB55" i="16" s="1"/>
  <c r="AC55" i="16" s="1"/>
  <c r="D56" i="16"/>
  <c r="E56" i="16" s="1"/>
  <c r="I56" i="16"/>
  <c r="J56" i="16" s="1"/>
  <c r="S56" i="16"/>
  <c r="T56" i="16" s="1"/>
  <c r="V56" i="16"/>
  <c r="W56" i="16"/>
  <c r="AB56" i="16" s="1"/>
  <c r="AC56" i="16" s="1"/>
  <c r="D57" i="16"/>
  <c r="E57" i="16" s="1"/>
  <c r="I57" i="16"/>
  <c r="J57" i="16"/>
  <c r="S57" i="16"/>
  <c r="T57" i="16" s="1"/>
  <c r="V57" i="16"/>
  <c r="W57" i="16"/>
  <c r="X57" i="16"/>
  <c r="Y57" i="16" s="1"/>
  <c r="AB57" i="16"/>
  <c r="AC57" i="16" s="1"/>
  <c r="D58" i="16"/>
  <c r="E58" i="16" s="1"/>
  <c r="I58" i="16"/>
  <c r="J58" i="16" s="1"/>
  <c r="S58" i="16"/>
  <c r="T58" i="16" s="1"/>
  <c r="V58" i="16"/>
  <c r="W58" i="16"/>
  <c r="AB58" i="16" s="1"/>
  <c r="AC58" i="16" s="1"/>
  <c r="D59" i="16"/>
  <c r="E59" i="16" s="1"/>
  <c r="I59" i="16"/>
  <c r="J59" i="16" s="1"/>
  <c r="S59" i="16"/>
  <c r="T59" i="16" s="1"/>
  <c r="V59" i="16"/>
  <c r="W59" i="16"/>
  <c r="AB59" i="16" s="1"/>
  <c r="AC59" i="16" s="1"/>
  <c r="D60" i="16"/>
  <c r="E60" i="16" s="1"/>
  <c r="I60" i="16"/>
  <c r="J60" i="16" s="1"/>
  <c r="S60" i="16"/>
  <c r="T60" i="16" s="1"/>
  <c r="V60" i="16"/>
  <c r="W60" i="16"/>
  <c r="AB60" i="16" s="1"/>
  <c r="AC60" i="16" s="1"/>
  <c r="X60" i="16"/>
  <c r="Y60" i="16" s="1"/>
  <c r="B61" i="16"/>
  <c r="C61" i="16"/>
  <c r="D61" i="16"/>
  <c r="E61" i="16" s="1"/>
  <c r="G61" i="16"/>
  <c r="AA61" i="16" s="1"/>
  <c r="H61" i="16"/>
  <c r="I61" i="16"/>
  <c r="J61" i="16" s="1"/>
  <c r="S61" i="16"/>
  <c r="T61" i="16"/>
  <c r="W61" i="16"/>
  <c r="AB61" i="16" s="1"/>
  <c r="AC61" i="16" s="1"/>
  <c r="D62" i="16"/>
  <c r="E62" i="16"/>
  <c r="I62" i="16"/>
  <c r="J62" i="16"/>
  <c r="S62" i="16"/>
  <c r="T62" i="16" s="1"/>
  <c r="V62" i="16"/>
  <c r="W62" i="16"/>
  <c r="X62" i="16" s="1"/>
  <c r="Y62" i="16" s="1"/>
  <c r="D64" i="16"/>
  <c r="E64" i="16" s="1"/>
  <c r="I64" i="16"/>
  <c r="J64" i="16"/>
  <c r="S64" i="16"/>
  <c r="T64" i="16"/>
  <c r="V64" i="16"/>
  <c r="W64" i="16"/>
  <c r="AB64" i="16" s="1"/>
  <c r="AC64" i="16" s="1"/>
  <c r="D65" i="16"/>
  <c r="E65" i="16"/>
  <c r="I65" i="16"/>
  <c r="J65" i="16"/>
  <c r="S65" i="16"/>
  <c r="T65" i="16"/>
  <c r="V65" i="16"/>
  <c r="W65" i="16"/>
  <c r="AB65" i="16" s="1"/>
  <c r="AC65" i="16" s="1"/>
  <c r="D66" i="16"/>
  <c r="E66" i="16"/>
  <c r="I66" i="16"/>
  <c r="J66" i="16"/>
  <c r="V66" i="16"/>
  <c r="W66" i="16"/>
  <c r="AB66" i="16" s="1"/>
  <c r="AC66" i="16" s="1"/>
  <c r="D68" i="16"/>
  <c r="E68" i="16"/>
  <c r="I68" i="16"/>
  <c r="J68" i="16"/>
  <c r="S68" i="16"/>
  <c r="T68" i="16"/>
  <c r="V68" i="16"/>
  <c r="W68" i="16"/>
  <c r="AB68" i="16"/>
  <c r="AC68" i="16" s="1"/>
  <c r="D69" i="16"/>
  <c r="E69" i="16"/>
  <c r="I69" i="16"/>
  <c r="J69" i="16"/>
  <c r="S69" i="16"/>
  <c r="T69" i="16" s="1"/>
  <c r="V69" i="16"/>
  <c r="W69" i="16"/>
  <c r="AB69" i="16" s="1"/>
  <c r="AC69" i="16" s="1"/>
  <c r="D71" i="16"/>
  <c r="E71" i="16"/>
  <c r="I71" i="16"/>
  <c r="J71" i="16"/>
  <c r="S71" i="16"/>
  <c r="T71" i="16"/>
  <c r="V71" i="16"/>
  <c r="W71" i="16"/>
  <c r="AB71" i="16" s="1"/>
  <c r="AC71" i="16" s="1"/>
  <c r="D72" i="16"/>
  <c r="E72" i="16"/>
  <c r="I72" i="16"/>
  <c r="J72" i="16"/>
  <c r="S72" i="16"/>
  <c r="T72" i="16"/>
  <c r="V72" i="16"/>
  <c r="W72" i="16"/>
  <c r="AB72" i="16" s="1"/>
  <c r="AC72" i="16" s="1"/>
  <c r="X72" i="16"/>
  <c r="Y72" i="16" s="1"/>
  <c r="D73" i="16"/>
  <c r="E73" i="16"/>
  <c r="I73" i="16"/>
  <c r="J73" i="16"/>
  <c r="S73" i="16"/>
  <c r="T73" i="16"/>
  <c r="V73" i="16"/>
  <c r="W73" i="16"/>
  <c r="AB73" i="16" s="1"/>
  <c r="AC73" i="16" s="1"/>
  <c r="D74" i="16"/>
  <c r="E74" i="16"/>
  <c r="I74" i="16"/>
  <c r="J74" i="16"/>
  <c r="S74" i="16"/>
  <c r="V74" i="16"/>
  <c r="W74" i="16"/>
  <c r="AB74" i="16" s="1"/>
  <c r="AC74" i="16" s="1"/>
  <c r="B76" i="16"/>
  <c r="B78" i="16" s="1"/>
  <c r="C76" i="16"/>
  <c r="H76" i="16"/>
  <c r="Q76" i="16"/>
  <c r="R76" i="16"/>
  <c r="AA76" i="16"/>
  <c r="Q78" i="16"/>
  <c r="AA78" i="16"/>
  <c r="Q80" i="16"/>
  <c r="Q84" i="16" s="1"/>
  <c r="D82" i="16"/>
  <c r="E82" i="16" s="1"/>
  <c r="J82" i="16"/>
  <c r="S82" i="16"/>
  <c r="T82" i="16"/>
  <c r="V82" i="16"/>
  <c r="W82" i="16"/>
  <c r="B16" i="15"/>
  <c r="C16" i="15"/>
  <c r="B18" i="15"/>
  <c r="B20" i="15"/>
  <c r="C20" i="15"/>
  <c r="D20" i="15"/>
  <c r="F20" i="15"/>
  <c r="B30" i="15"/>
  <c r="C30" i="15"/>
  <c r="D30" i="15"/>
  <c r="F30" i="15"/>
  <c r="B37" i="15"/>
  <c r="C37" i="15"/>
  <c r="B39" i="15"/>
  <c r="C39" i="15"/>
  <c r="F39" i="15"/>
  <c r="C53" i="15"/>
  <c r="B57" i="15"/>
  <c r="C57" i="15"/>
  <c r="D57" i="15"/>
  <c r="F57" i="15"/>
  <c r="B60" i="15"/>
  <c r="C60" i="15"/>
  <c r="D60" i="15"/>
  <c r="B61" i="15"/>
  <c r="C61" i="15"/>
  <c r="C63" i="15" s="1"/>
  <c r="D61" i="15"/>
  <c r="F63" i="15"/>
  <c r="B70" i="15"/>
  <c r="C70" i="15"/>
  <c r="C72" i="15" s="1"/>
  <c r="F70" i="15"/>
  <c r="F72" i="15" s="1"/>
  <c r="E73" i="15"/>
  <c r="D63" i="15" l="1"/>
  <c r="D72" i="15" s="1"/>
  <c r="B63" i="15"/>
  <c r="F43" i="15"/>
  <c r="D43" i="15"/>
  <c r="C43" i="15"/>
  <c r="C73" i="15" s="1"/>
  <c r="B43" i="15"/>
  <c r="X74" i="16"/>
  <c r="Y74" i="16" s="1"/>
  <c r="X66" i="16"/>
  <c r="Y66" i="16" s="1"/>
  <c r="X64" i="16"/>
  <c r="Y64" i="16" s="1"/>
  <c r="X59" i="16"/>
  <c r="Y59" i="16" s="1"/>
  <c r="X58" i="16"/>
  <c r="Y58" i="16" s="1"/>
  <c r="X54" i="16"/>
  <c r="Y54" i="16" s="1"/>
  <c r="X46" i="16"/>
  <c r="Y46" i="16" s="1"/>
  <c r="D76" i="16"/>
  <c r="X43" i="16"/>
  <c r="Y43" i="16" s="1"/>
  <c r="R78" i="16"/>
  <c r="X36" i="16"/>
  <c r="Y36" i="16" s="1"/>
  <c r="I40" i="16"/>
  <c r="J40" i="16" s="1"/>
  <c r="W40" i="16"/>
  <c r="X32" i="16"/>
  <c r="Y32" i="16" s="1"/>
  <c r="S40" i="16"/>
  <c r="T40" i="16" s="1"/>
  <c r="R80" i="16"/>
  <c r="R84" i="16" s="1"/>
  <c r="X18" i="16"/>
  <c r="Y18" i="16" s="1"/>
  <c r="B43" i="18"/>
  <c r="I43" i="18" s="1"/>
  <c r="I20" i="18"/>
  <c r="B63" i="18"/>
  <c r="I63" i="18" s="1"/>
  <c r="I60" i="18"/>
  <c r="AA80" i="16"/>
  <c r="B72" i="18"/>
  <c r="I72" i="18" s="1"/>
  <c r="X73" i="16"/>
  <c r="Y73" i="16" s="1"/>
  <c r="X55" i="16"/>
  <c r="Y55" i="16" s="1"/>
  <c r="X50" i="16"/>
  <c r="Y50" i="16" s="1"/>
  <c r="X49" i="16"/>
  <c r="Y49" i="16" s="1"/>
  <c r="X35" i="16"/>
  <c r="Y35" i="16" s="1"/>
  <c r="X22" i="16"/>
  <c r="Y22" i="16" s="1"/>
  <c r="X21" i="16"/>
  <c r="Y21" i="16" s="1"/>
  <c r="X14" i="16"/>
  <c r="Y14" i="16" s="1"/>
  <c r="X13" i="16"/>
  <c r="Y13" i="16" s="1"/>
  <c r="X56" i="16"/>
  <c r="Y56" i="16" s="1"/>
  <c r="AB40" i="16"/>
  <c r="AC40" i="16" s="1"/>
  <c r="X68" i="16"/>
  <c r="Y68" i="16" s="1"/>
  <c r="X44" i="16"/>
  <c r="Y44" i="16" s="1"/>
  <c r="X65" i="16"/>
  <c r="Y65" i="16" s="1"/>
  <c r="AB62" i="16"/>
  <c r="AC62" i="16" s="1"/>
  <c r="AB53" i="16"/>
  <c r="AC53" i="16" s="1"/>
  <c r="D78" i="16"/>
  <c r="E78" i="16" s="1"/>
  <c r="E76" i="16"/>
  <c r="W76" i="16"/>
  <c r="X51" i="16"/>
  <c r="Y51" i="16" s="1"/>
  <c r="X47" i="16"/>
  <c r="Y47" i="16" s="1"/>
  <c r="I23" i="16"/>
  <c r="W17" i="16"/>
  <c r="X71" i="16"/>
  <c r="Y71" i="16" s="1"/>
  <c r="S76" i="16"/>
  <c r="T76" i="16" s="1"/>
  <c r="H78" i="16"/>
  <c r="H80" i="16" s="1"/>
  <c r="H84" i="16" s="1"/>
  <c r="X38" i="16"/>
  <c r="Y38" i="16" s="1"/>
  <c r="X34" i="16"/>
  <c r="Y34" i="16" s="1"/>
  <c r="AB15" i="16"/>
  <c r="AC15" i="16" s="1"/>
  <c r="X15" i="16"/>
  <c r="Y15" i="16" s="1"/>
  <c r="W23" i="16"/>
  <c r="W27" i="16" s="1"/>
  <c r="V23" i="16"/>
  <c r="V27" i="16" s="1"/>
  <c r="I76" i="16"/>
  <c r="S27" i="16"/>
  <c r="S78" i="16"/>
  <c r="T78" i="16" s="1"/>
  <c r="D23" i="16"/>
  <c r="V61" i="16"/>
  <c r="G76" i="16"/>
  <c r="G78" i="16" s="1"/>
  <c r="G80" i="16" s="1"/>
  <c r="G84" i="16" s="1"/>
  <c r="X52" i="16"/>
  <c r="Y52" i="16" s="1"/>
  <c r="X48" i="16"/>
  <c r="Y48" i="16" s="1"/>
  <c r="C78" i="16"/>
  <c r="C80" i="16" s="1"/>
  <c r="C84" i="16" s="1"/>
  <c r="X69" i="16"/>
  <c r="Y69" i="16" s="1"/>
  <c r="X37" i="16"/>
  <c r="Y37" i="16" s="1"/>
  <c r="X33" i="16"/>
  <c r="B80" i="16"/>
  <c r="B84" i="16" s="1"/>
  <c r="X82" i="16"/>
  <c r="Y82" i="16" s="1"/>
  <c r="AB20" i="16"/>
  <c r="AC20" i="16" s="1"/>
  <c r="X20" i="16"/>
  <c r="Y20" i="16" s="1"/>
  <c r="X16" i="16"/>
  <c r="Y16" i="16" s="1"/>
  <c r="V40" i="16"/>
  <c r="AB19" i="16"/>
  <c r="AC19" i="16" s="1"/>
  <c r="AB14" i="16"/>
  <c r="AA82" i="16"/>
  <c r="B72" i="15"/>
  <c r="AB82" i="16" l="1"/>
  <c r="AC82" i="16" s="1"/>
  <c r="AA84" i="16"/>
  <c r="X61" i="16"/>
  <c r="Y61" i="16" s="1"/>
  <c r="V76" i="16"/>
  <c r="V78" i="16" s="1"/>
  <c r="J76" i="16"/>
  <c r="D73" i="15"/>
  <c r="AB76" i="16"/>
  <c r="AC76" i="16" s="1"/>
  <c r="W78" i="16"/>
  <c r="W80" i="16" s="1"/>
  <c r="W84" i="16" s="1"/>
  <c r="AB84" i="16" s="1"/>
  <c r="AC84" i="16" s="1"/>
  <c r="X17" i="16"/>
  <c r="Y17" i="16" s="1"/>
  <c r="AB17" i="16"/>
  <c r="AC17" i="16" s="1"/>
  <c r="X76" i="16"/>
  <c r="Y76" i="16" s="1"/>
  <c r="AC14" i="16"/>
  <c r="I27" i="16"/>
  <c r="J23" i="16"/>
  <c r="Y33" i="16"/>
  <c r="X40" i="16"/>
  <c r="V80" i="16"/>
  <c r="V84" i="16" s="1"/>
  <c r="E23" i="16"/>
  <c r="D27" i="16"/>
  <c r="AB27" i="16"/>
  <c r="I78" i="16"/>
  <c r="J78" i="16" s="1"/>
  <c r="T27" i="16"/>
  <c r="S80" i="16"/>
  <c r="I80" i="16" l="1"/>
  <c r="AB78" i="16"/>
  <c r="AC78" i="16" s="1"/>
  <c r="X23" i="16"/>
  <c r="S84" i="16"/>
  <c r="T84" i="16" s="1"/>
  <c r="T80" i="16"/>
  <c r="AB23" i="16"/>
  <c r="AC23" i="16" s="1"/>
  <c r="AC27" i="16"/>
  <c r="D80" i="16"/>
  <c r="E27" i="16"/>
  <c r="J27" i="16"/>
  <c r="X78" i="16"/>
  <c r="Y78" i="16" s="1"/>
  <c r="Y40" i="16"/>
  <c r="Y23" i="16"/>
  <c r="X27" i="16"/>
  <c r="AB80" i="16" l="1"/>
  <c r="AC80" i="16" s="1"/>
  <c r="X80" i="16"/>
  <c r="Y27" i="16"/>
  <c r="E80" i="16"/>
  <c r="D84" i="16"/>
  <c r="E84" i="16" s="1"/>
  <c r="J80" i="16"/>
  <c r="I84" i="16"/>
  <c r="J84" i="16" s="1"/>
  <c r="X84" i="16" l="1"/>
  <c r="Y84" i="16" s="1"/>
  <c r="Y80" i="16"/>
  <c r="D13" i="13" l="1"/>
  <c r="E13" i="13"/>
  <c r="I13" i="13"/>
  <c r="J13" i="13"/>
  <c r="N13" i="13"/>
  <c r="O13" i="13"/>
  <c r="S13" i="13"/>
  <c r="T13" i="13" s="1"/>
  <c r="V13" i="13"/>
  <c r="W13" i="13"/>
  <c r="AA13" i="13"/>
  <c r="D14" i="13"/>
  <c r="E14" i="13"/>
  <c r="I14" i="13"/>
  <c r="J14" i="13" s="1"/>
  <c r="N14" i="13"/>
  <c r="S14" i="13"/>
  <c r="V14" i="13"/>
  <c r="W14" i="13"/>
  <c r="AA14" i="13"/>
  <c r="D15" i="13"/>
  <c r="I15" i="13"/>
  <c r="J15" i="13" s="1"/>
  <c r="N15" i="13"/>
  <c r="O15" i="13" s="1"/>
  <c r="S15" i="13"/>
  <c r="T15" i="13" s="1"/>
  <c r="V15" i="13"/>
  <c r="W15" i="13"/>
  <c r="AA15" i="13"/>
  <c r="AB15" i="27" s="1"/>
  <c r="AC15" i="27" s="1"/>
  <c r="D16" i="13"/>
  <c r="I16" i="13"/>
  <c r="J16" i="13" s="1"/>
  <c r="N16" i="13"/>
  <c r="O16" i="13" s="1"/>
  <c r="S16" i="13"/>
  <c r="T16" i="13" s="1"/>
  <c r="V16" i="13"/>
  <c r="W16" i="13"/>
  <c r="AA16" i="13"/>
  <c r="AB16" i="27" s="1"/>
  <c r="AC16" i="27" s="1"/>
  <c r="D17" i="13"/>
  <c r="I17" i="13"/>
  <c r="J17" i="13" s="1"/>
  <c r="N17" i="13"/>
  <c r="O17" i="13" s="1"/>
  <c r="S17" i="13"/>
  <c r="T17" i="13" s="1"/>
  <c r="V17" i="13"/>
  <c r="W17" i="13"/>
  <c r="AA17" i="13"/>
  <c r="D18" i="13"/>
  <c r="I18" i="13"/>
  <c r="J18" i="13" s="1"/>
  <c r="N18" i="13"/>
  <c r="O18" i="13" s="1"/>
  <c r="S18" i="13"/>
  <c r="T18" i="13" s="1"/>
  <c r="V18" i="13"/>
  <c r="W18" i="13"/>
  <c r="AA18" i="13"/>
  <c r="AB18" i="27" s="1"/>
  <c r="AC18" i="27" s="1"/>
  <c r="D19" i="13"/>
  <c r="I19" i="13"/>
  <c r="J19" i="13" s="1"/>
  <c r="N19" i="13"/>
  <c r="O19" i="13" s="1"/>
  <c r="S19" i="13"/>
  <c r="T19" i="13" s="1"/>
  <c r="V19" i="13"/>
  <c r="W19" i="13"/>
  <c r="AA19" i="13"/>
  <c r="D20" i="13"/>
  <c r="I20" i="13"/>
  <c r="J20" i="13" s="1"/>
  <c r="N20" i="13"/>
  <c r="O20" i="13" s="1"/>
  <c r="S20" i="13"/>
  <c r="T20" i="13" s="1"/>
  <c r="V20" i="13"/>
  <c r="W20" i="13"/>
  <c r="AA20" i="13"/>
  <c r="AB20" i="27" s="1"/>
  <c r="AC20" i="27" s="1"/>
  <c r="D21" i="13"/>
  <c r="I21" i="13"/>
  <c r="J21" i="13" s="1"/>
  <c r="N21" i="13"/>
  <c r="O21" i="13" s="1"/>
  <c r="S21" i="13"/>
  <c r="T21" i="13" s="1"/>
  <c r="V21" i="13"/>
  <c r="W21" i="13"/>
  <c r="AA21" i="13"/>
  <c r="AB21" i="27" s="1"/>
  <c r="AC21" i="27" s="1"/>
  <c r="D22" i="13"/>
  <c r="I22" i="13"/>
  <c r="J22" i="13" s="1"/>
  <c r="N22" i="13"/>
  <c r="O22" i="13" s="1"/>
  <c r="S22" i="13"/>
  <c r="T22" i="13" s="1"/>
  <c r="V22" i="13"/>
  <c r="W22" i="13"/>
  <c r="AB22" i="13" s="1"/>
  <c r="AC22" i="13" s="1"/>
  <c r="B23" i="13"/>
  <c r="C23" i="13"/>
  <c r="G23" i="13"/>
  <c r="H23" i="13"/>
  <c r="L23" i="13"/>
  <c r="L27" i="13" s="1"/>
  <c r="M23" i="13"/>
  <c r="M27" i="13" s="1"/>
  <c r="Q23" i="13"/>
  <c r="R23" i="13"/>
  <c r="R27" i="13" s="1"/>
  <c r="T24" i="13"/>
  <c r="D25" i="13"/>
  <c r="I25" i="13"/>
  <c r="J25" i="13" s="1"/>
  <c r="N25" i="13"/>
  <c r="O25" i="13" s="1"/>
  <c r="S25" i="13"/>
  <c r="T25" i="13" s="1"/>
  <c r="V25" i="13"/>
  <c r="W25" i="13"/>
  <c r="T26" i="13"/>
  <c r="G27" i="13"/>
  <c r="Q27" i="13"/>
  <c r="D32" i="13"/>
  <c r="E32" i="13" s="1"/>
  <c r="I32" i="13"/>
  <c r="J32" i="13" s="1"/>
  <c r="N32" i="13"/>
  <c r="O32" i="13" s="1"/>
  <c r="S32" i="13"/>
  <c r="T32" i="13" s="1"/>
  <c r="V32" i="13"/>
  <c r="W32" i="13"/>
  <c r="AA32" i="13"/>
  <c r="D33" i="13"/>
  <c r="E33" i="13" s="1"/>
  <c r="I33" i="13"/>
  <c r="J33" i="13" s="1"/>
  <c r="N33" i="13"/>
  <c r="S33" i="13"/>
  <c r="V33" i="13"/>
  <c r="W33" i="13"/>
  <c r="AA33" i="13"/>
  <c r="AB33" i="27" s="1"/>
  <c r="AC33" i="27" s="1"/>
  <c r="D34" i="13"/>
  <c r="E34" i="13" s="1"/>
  <c r="I34" i="13"/>
  <c r="J34" i="13" s="1"/>
  <c r="N34" i="13"/>
  <c r="O34" i="13" s="1"/>
  <c r="S34" i="13"/>
  <c r="T34" i="13" s="1"/>
  <c r="V34" i="13"/>
  <c r="W34" i="13"/>
  <c r="AA34" i="13"/>
  <c r="D35" i="13"/>
  <c r="E35" i="13" s="1"/>
  <c r="I35" i="13"/>
  <c r="J35" i="13" s="1"/>
  <c r="N35" i="13"/>
  <c r="O35" i="13" s="1"/>
  <c r="S35" i="13"/>
  <c r="T35" i="13" s="1"/>
  <c r="V35" i="13"/>
  <c r="W35" i="13"/>
  <c r="AA35" i="13"/>
  <c r="D36" i="13"/>
  <c r="E36" i="13" s="1"/>
  <c r="I36" i="13"/>
  <c r="J36" i="13" s="1"/>
  <c r="N36" i="13"/>
  <c r="O36" i="13"/>
  <c r="S36" i="13"/>
  <c r="T36" i="13" s="1"/>
  <c r="V36" i="13"/>
  <c r="W36" i="13"/>
  <c r="X36" i="13" s="1"/>
  <c r="Y36" i="13" s="1"/>
  <c r="AA36" i="13"/>
  <c r="D37" i="13"/>
  <c r="E37" i="13" s="1"/>
  <c r="I37" i="13"/>
  <c r="J37" i="13" s="1"/>
  <c r="N37" i="13"/>
  <c r="O37" i="13" s="1"/>
  <c r="S37" i="13"/>
  <c r="T37" i="13" s="1"/>
  <c r="V37" i="13"/>
  <c r="W37" i="13"/>
  <c r="AA37" i="13"/>
  <c r="D38" i="13"/>
  <c r="E38" i="13" s="1"/>
  <c r="I38" i="13"/>
  <c r="J38" i="13" s="1"/>
  <c r="N38" i="13"/>
  <c r="O38" i="13" s="1"/>
  <c r="S38" i="13"/>
  <c r="T38" i="13"/>
  <c r="V38" i="13"/>
  <c r="W38" i="13"/>
  <c r="AA38" i="13"/>
  <c r="D39" i="13"/>
  <c r="E39" i="13" s="1"/>
  <c r="I39" i="13"/>
  <c r="J39" i="13" s="1"/>
  <c r="N39" i="13"/>
  <c r="O39" i="13" s="1"/>
  <c r="S39" i="13"/>
  <c r="T39" i="13"/>
  <c r="V39" i="13"/>
  <c r="W39" i="13"/>
  <c r="AA39" i="13"/>
  <c r="B40" i="13"/>
  <c r="C40" i="13"/>
  <c r="G40" i="13"/>
  <c r="H40" i="13"/>
  <c r="L40" i="13"/>
  <c r="M40" i="13"/>
  <c r="Q40" i="13"/>
  <c r="R40" i="13"/>
  <c r="D43" i="13"/>
  <c r="E43" i="13" s="1"/>
  <c r="I43" i="13"/>
  <c r="N43" i="13"/>
  <c r="O43" i="13" s="1"/>
  <c r="S43" i="13"/>
  <c r="V43" i="13"/>
  <c r="W43" i="13"/>
  <c r="AA43" i="13"/>
  <c r="D44" i="13"/>
  <c r="E44" i="13" s="1"/>
  <c r="I44" i="13"/>
  <c r="J44" i="13" s="1"/>
  <c r="N44" i="13"/>
  <c r="O44" i="13" s="1"/>
  <c r="S44" i="13"/>
  <c r="T44" i="13" s="1"/>
  <c r="V44" i="13"/>
  <c r="W44" i="13"/>
  <c r="X44" i="13" s="1"/>
  <c r="Y44" i="13" s="1"/>
  <c r="AA44" i="13"/>
  <c r="D45" i="13"/>
  <c r="E45" i="13" s="1"/>
  <c r="I45" i="13"/>
  <c r="J45" i="13" s="1"/>
  <c r="N45" i="13"/>
  <c r="O45" i="13" s="1"/>
  <c r="S45" i="13"/>
  <c r="T45" i="13" s="1"/>
  <c r="V45" i="13"/>
  <c r="W45" i="13"/>
  <c r="AA45" i="13"/>
  <c r="AB45" i="27" s="1"/>
  <c r="AC45" i="27" s="1"/>
  <c r="D46" i="13"/>
  <c r="E46" i="13" s="1"/>
  <c r="I46" i="13"/>
  <c r="J46" i="13" s="1"/>
  <c r="N46" i="13"/>
  <c r="O46" i="13" s="1"/>
  <c r="S46" i="13"/>
  <c r="T46" i="13" s="1"/>
  <c r="V46" i="13"/>
  <c r="W46" i="13"/>
  <c r="AA46" i="13"/>
  <c r="D47" i="13"/>
  <c r="E47" i="13" s="1"/>
  <c r="I47" i="13"/>
  <c r="J47" i="13" s="1"/>
  <c r="N47" i="13"/>
  <c r="O47" i="13" s="1"/>
  <c r="S47" i="13"/>
  <c r="T47" i="13" s="1"/>
  <c r="V47" i="13"/>
  <c r="W47" i="13"/>
  <c r="AA47" i="13"/>
  <c r="AB47" i="27" s="1"/>
  <c r="AC47" i="27" s="1"/>
  <c r="D48" i="13"/>
  <c r="E48" i="13" s="1"/>
  <c r="I48" i="13"/>
  <c r="J48" i="13" s="1"/>
  <c r="N48" i="13"/>
  <c r="O48" i="13" s="1"/>
  <c r="S48" i="13"/>
  <c r="T48" i="13" s="1"/>
  <c r="V48" i="13"/>
  <c r="W48" i="13"/>
  <c r="AA48" i="13"/>
  <c r="D49" i="13"/>
  <c r="E49" i="13" s="1"/>
  <c r="I49" i="13"/>
  <c r="J49" i="13" s="1"/>
  <c r="N49" i="13"/>
  <c r="O49" i="13" s="1"/>
  <c r="S49" i="13"/>
  <c r="T49" i="13" s="1"/>
  <c r="V49" i="13"/>
  <c r="W49" i="13"/>
  <c r="AA49" i="13"/>
  <c r="AB49" i="27" s="1"/>
  <c r="AC49" i="27" s="1"/>
  <c r="D51" i="13"/>
  <c r="E51" i="13" s="1"/>
  <c r="I51" i="13"/>
  <c r="J51" i="13" s="1"/>
  <c r="N51" i="13"/>
  <c r="O51" i="13" s="1"/>
  <c r="S51" i="13"/>
  <c r="T51" i="13" s="1"/>
  <c r="V51" i="13"/>
  <c r="W51" i="13"/>
  <c r="AA51" i="13"/>
  <c r="AB51" i="27" s="1"/>
  <c r="AC51" i="27" s="1"/>
  <c r="D52" i="13"/>
  <c r="E52" i="13" s="1"/>
  <c r="I52" i="13"/>
  <c r="J52" i="13" s="1"/>
  <c r="N52" i="13"/>
  <c r="O52" i="13" s="1"/>
  <c r="S52" i="13"/>
  <c r="T52" i="13" s="1"/>
  <c r="V52" i="13"/>
  <c r="W52" i="13"/>
  <c r="X52" i="13" s="1"/>
  <c r="Y52" i="13" s="1"/>
  <c r="AA52" i="13"/>
  <c r="AB52" i="27" s="1"/>
  <c r="AC52" i="27" s="1"/>
  <c r="D53" i="13"/>
  <c r="E53" i="13" s="1"/>
  <c r="I53" i="13"/>
  <c r="J53" i="13" s="1"/>
  <c r="N53" i="13"/>
  <c r="O53" i="13" s="1"/>
  <c r="S53" i="13"/>
  <c r="T53" i="13" s="1"/>
  <c r="V53" i="13"/>
  <c r="W53" i="13"/>
  <c r="AA53" i="13"/>
  <c r="D54" i="13"/>
  <c r="E54" i="13" s="1"/>
  <c r="I54" i="13"/>
  <c r="J54" i="13" s="1"/>
  <c r="N54" i="13"/>
  <c r="O54" i="13"/>
  <c r="S54" i="13"/>
  <c r="T54" i="13" s="1"/>
  <c r="V54" i="13"/>
  <c r="W54" i="13"/>
  <c r="AA54" i="13"/>
  <c r="D55" i="13"/>
  <c r="E55" i="13" s="1"/>
  <c r="I55" i="13"/>
  <c r="J55" i="13" s="1"/>
  <c r="N55" i="13"/>
  <c r="O55" i="13" s="1"/>
  <c r="S55" i="13"/>
  <c r="T55" i="13" s="1"/>
  <c r="V55" i="13"/>
  <c r="W55" i="13"/>
  <c r="AA55" i="13"/>
  <c r="AB55" i="13"/>
  <c r="AC55" i="13" s="1"/>
  <c r="D56" i="13"/>
  <c r="E56" i="13" s="1"/>
  <c r="I56" i="13"/>
  <c r="J56" i="13" s="1"/>
  <c r="N56" i="13"/>
  <c r="O56" i="13" s="1"/>
  <c r="S56" i="13"/>
  <c r="T56" i="13" s="1"/>
  <c r="V56" i="13"/>
  <c r="W56" i="13"/>
  <c r="AA56" i="13"/>
  <c r="AB56" i="27" s="1"/>
  <c r="AC56" i="27" s="1"/>
  <c r="D57" i="13"/>
  <c r="E57" i="13" s="1"/>
  <c r="I57" i="13"/>
  <c r="J57" i="13" s="1"/>
  <c r="N57" i="13"/>
  <c r="O57" i="13" s="1"/>
  <c r="S57" i="13"/>
  <c r="T57" i="13"/>
  <c r="V57" i="13"/>
  <c r="W57" i="13"/>
  <c r="AA57" i="13"/>
  <c r="AB57" i="27" s="1"/>
  <c r="AC57" i="27" s="1"/>
  <c r="D58" i="13"/>
  <c r="E58" i="13" s="1"/>
  <c r="I58" i="13"/>
  <c r="J58" i="13" s="1"/>
  <c r="N58" i="13"/>
  <c r="O58" i="13" s="1"/>
  <c r="S58" i="13"/>
  <c r="T58" i="13"/>
  <c r="V58" i="13"/>
  <c r="W58" i="13"/>
  <c r="AA58" i="13"/>
  <c r="AB58" i="27" s="1"/>
  <c r="AC58" i="27" s="1"/>
  <c r="D59" i="13"/>
  <c r="E59" i="13" s="1"/>
  <c r="I59" i="13"/>
  <c r="J59" i="13" s="1"/>
  <c r="N59" i="13"/>
  <c r="O59" i="13" s="1"/>
  <c r="S59" i="13"/>
  <c r="T59" i="13" s="1"/>
  <c r="V59" i="13"/>
  <c r="W59" i="13"/>
  <c r="AA59" i="13"/>
  <c r="D60" i="13"/>
  <c r="E60" i="13" s="1"/>
  <c r="I60" i="13"/>
  <c r="J60" i="13" s="1"/>
  <c r="N60" i="13"/>
  <c r="O60" i="13" s="1"/>
  <c r="S60" i="13"/>
  <c r="T60" i="13" s="1"/>
  <c r="V60" i="13"/>
  <c r="W60" i="13"/>
  <c r="AA60" i="13"/>
  <c r="D61" i="13"/>
  <c r="E61" i="13" s="1"/>
  <c r="I61" i="13"/>
  <c r="J61" i="13" s="1"/>
  <c r="N61" i="13"/>
  <c r="O61" i="13" s="1"/>
  <c r="S61" i="13"/>
  <c r="T61" i="13"/>
  <c r="V61" i="13"/>
  <c r="W61" i="13"/>
  <c r="X61" i="13" s="1"/>
  <c r="Y61" i="13" s="1"/>
  <c r="AA61" i="13"/>
  <c r="D62" i="13"/>
  <c r="E62" i="13" s="1"/>
  <c r="I62" i="13"/>
  <c r="J62" i="13" s="1"/>
  <c r="N62" i="13"/>
  <c r="O62" i="13" s="1"/>
  <c r="S62" i="13"/>
  <c r="T62" i="13" s="1"/>
  <c r="V62" i="13"/>
  <c r="W62" i="13"/>
  <c r="AA62" i="13"/>
  <c r="D63" i="13"/>
  <c r="E63" i="13" s="1"/>
  <c r="I63" i="13"/>
  <c r="J63" i="13" s="1"/>
  <c r="N63" i="13"/>
  <c r="O63" i="13" s="1"/>
  <c r="S63" i="13"/>
  <c r="T63" i="13" s="1"/>
  <c r="V63" i="13"/>
  <c r="W63" i="13"/>
  <c r="AA63" i="13"/>
  <c r="AB63" i="27" s="1"/>
  <c r="AC63" i="27" s="1"/>
  <c r="D64" i="13"/>
  <c r="E64" i="13" s="1"/>
  <c r="I64" i="13"/>
  <c r="J64" i="13" s="1"/>
  <c r="N64" i="13"/>
  <c r="O64" i="13" s="1"/>
  <c r="S64" i="13"/>
  <c r="T64" i="13" s="1"/>
  <c r="V64" i="13"/>
  <c r="W64" i="13"/>
  <c r="AA64" i="13"/>
  <c r="D65" i="13"/>
  <c r="E65" i="13" s="1"/>
  <c r="I65" i="13"/>
  <c r="J65" i="13" s="1"/>
  <c r="N65" i="13"/>
  <c r="O65" i="13" s="1"/>
  <c r="S65" i="13"/>
  <c r="T65" i="13" s="1"/>
  <c r="V65" i="13"/>
  <c r="W65" i="13"/>
  <c r="AA65" i="13"/>
  <c r="D66" i="13"/>
  <c r="E66" i="13" s="1"/>
  <c r="I66" i="13"/>
  <c r="J66" i="13" s="1"/>
  <c r="N66" i="13"/>
  <c r="O66" i="13" s="1"/>
  <c r="S66" i="13"/>
  <c r="T66" i="13" s="1"/>
  <c r="V66" i="13"/>
  <c r="W66" i="13"/>
  <c r="AA66" i="13"/>
  <c r="D67" i="13"/>
  <c r="E67" i="13" s="1"/>
  <c r="I67" i="13"/>
  <c r="J67" i="13" s="1"/>
  <c r="N67" i="13"/>
  <c r="O67" i="13" s="1"/>
  <c r="S67" i="13"/>
  <c r="T67" i="13" s="1"/>
  <c r="V67" i="13"/>
  <c r="W67" i="13"/>
  <c r="AA67" i="13"/>
  <c r="D68" i="13"/>
  <c r="E68" i="13" s="1"/>
  <c r="I68" i="13"/>
  <c r="J68" i="13" s="1"/>
  <c r="N68" i="13"/>
  <c r="O68" i="13" s="1"/>
  <c r="S68" i="13"/>
  <c r="T68" i="13" s="1"/>
  <c r="V68" i="13"/>
  <c r="W68" i="13"/>
  <c r="AA68" i="13"/>
  <c r="AB68" i="27" s="1"/>
  <c r="AC68" i="27" s="1"/>
  <c r="D69" i="13"/>
  <c r="E69" i="13" s="1"/>
  <c r="I69" i="13"/>
  <c r="J69" i="13" s="1"/>
  <c r="N69" i="13"/>
  <c r="O69" i="13" s="1"/>
  <c r="S69" i="13"/>
  <c r="T69" i="13" s="1"/>
  <c r="V69" i="13"/>
  <c r="W69" i="13"/>
  <c r="AA69" i="13"/>
  <c r="D70" i="13"/>
  <c r="E70" i="13" s="1"/>
  <c r="I70" i="13"/>
  <c r="J70" i="13" s="1"/>
  <c r="N70" i="13"/>
  <c r="O70" i="13" s="1"/>
  <c r="S70" i="13"/>
  <c r="T70" i="13" s="1"/>
  <c r="V70" i="13"/>
  <c r="W70" i="13"/>
  <c r="AA70" i="13"/>
  <c r="D71" i="13"/>
  <c r="E71" i="13" s="1"/>
  <c r="I71" i="13"/>
  <c r="J71" i="13" s="1"/>
  <c r="N71" i="13"/>
  <c r="S71" i="13"/>
  <c r="V71" i="13"/>
  <c r="W71" i="13"/>
  <c r="AA71" i="13"/>
  <c r="AB71" i="27" s="1"/>
  <c r="AC71" i="27" s="1"/>
  <c r="D72" i="13"/>
  <c r="E72" i="13" s="1"/>
  <c r="I72" i="13"/>
  <c r="J72" i="13" s="1"/>
  <c r="N72" i="13"/>
  <c r="O72" i="13" s="1"/>
  <c r="S72" i="13"/>
  <c r="T72" i="13" s="1"/>
  <c r="V72" i="13"/>
  <c r="W72" i="13"/>
  <c r="AA72" i="13"/>
  <c r="D73" i="13"/>
  <c r="E73" i="13" s="1"/>
  <c r="I73" i="13"/>
  <c r="J73" i="13" s="1"/>
  <c r="N73" i="13"/>
  <c r="O73" i="13" s="1"/>
  <c r="S73" i="13"/>
  <c r="T73" i="13" s="1"/>
  <c r="V73" i="13"/>
  <c r="W73" i="13"/>
  <c r="AA73" i="13"/>
  <c r="D74" i="13"/>
  <c r="E74" i="13" s="1"/>
  <c r="I74" i="13"/>
  <c r="J74" i="13" s="1"/>
  <c r="V74" i="13"/>
  <c r="W74" i="13"/>
  <c r="AB74" i="13" s="1"/>
  <c r="AC74" i="13" s="1"/>
  <c r="B76" i="13"/>
  <c r="B78" i="13" s="1"/>
  <c r="C76" i="13"/>
  <c r="G76" i="13"/>
  <c r="G78" i="13" s="1"/>
  <c r="H76" i="13"/>
  <c r="H78" i="13" s="1"/>
  <c r="L76" i="13"/>
  <c r="M76" i="13"/>
  <c r="Q76" i="13"/>
  <c r="Q78" i="13" s="1"/>
  <c r="R76" i="13"/>
  <c r="C78" i="13"/>
  <c r="D82" i="13"/>
  <c r="E82" i="13" s="1"/>
  <c r="I82" i="13"/>
  <c r="J82" i="13" s="1"/>
  <c r="N82" i="13"/>
  <c r="O82" i="13" s="1"/>
  <c r="S82" i="13"/>
  <c r="T82" i="13" s="1"/>
  <c r="V82" i="13"/>
  <c r="AA82" i="13" s="1"/>
  <c r="W82" i="13"/>
  <c r="AB62" i="13" l="1"/>
  <c r="AC62" i="13" s="1"/>
  <c r="X59" i="13"/>
  <c r="Y59" i="13" s="1"/>
  <c r="AB54" i="13"/>
  <c r="AC54" i="13" s="1"/>
  <c r="AB54" i="27"/>
  <c r="AC54" i="27" s="1"/>
  <c r="AC53" i="13"/>
  <c r="AC53" i="27"/>
  <c r="AB39" i="13"/>
  <c r="AC39" i="13" s="1"/>
  <c r="AB39" i="27"/>
  <c r="AC39" i="27" s="1"/>
  <c r="X39" i="13"/>
  <c r="Y39" i="13" s="1"/>
  <c r="AB38" i="13"/>
  <c r="AC38" i="13" s="1"/>
  <c r="AB38" i="27"/>
  <c r="AC38" i="27" s="1"/>
  <c r="X38" i="13"/>
  <c r="Y38" i="13" s="1"/>
  <c r="X34" i="13"/>
  <c r="Y34" i="13" s="1"/>
  <c r="H27" i="13"/>
  <c r="C27" i="13"/>
  <c r="B27" i="13"/>
  <c r="X14" i="13"/>
  <c r="Y14" i="13" s="1"/>
  <c r="AA23" i="27"/>
  <c r="AA27" i="27" s="1"/>
  <c r="R78" i="13"/>
  <c r="AB56" i="13"/>
  <c r="AC56" i="13" s="1"/>
  <c r="M78" i="13"/>
  <c r="X69" i="13"/>
  <c r="Y69" i="13" s="1"/>
  <c r="X56" i="13"/>
  <c r="Y56" i="13" s="1"/>
  <c r="X43" i="13"/>
  <c r="Y43" i="13" s="1"/>
  <c r="AB35" i="13"/>
  <c r="AC35" i="13" s="1"/>
  <c r="X46" i="13"/>
  <c r="Y46" i="13" s="1"/>
  <c r="AB67" i="13"/>
  <c r="AC67" i="13" s="1"/>
  <c r="X64" i="13"/>
  <c r="Y64" i="13" s="1"/>
  <c r="AB34" i="13"/>
  <c r="AC34" i="13" s="1"/>
  <c r="AB21" i="13"/>
  <c r="AC21" i="13" s="1"/>
  <c r="X20" i="13"/>
  <c r="Y20" i="13" s="1"/>
  <c r="X67" i="13"/>
  <c r="Y67" i="13" s="1"/>
  <c r="X68" i="13"/>
  <c r="Y68" i="13" s="1"/>
  <c r="X54" i="13"/>
  <c r="Y54" i="13" s="1"/>
  <c r="AB44" i="13"/>
  <c r="AC44" i="13" s="1"/>
  <c r="X22" i="13"/>
  <c r="Y22" i="13" s="1"/>
  <c r="AB16" i="13"/>
  <c r="AC16" i="13" s="1"/>
  <c r="X82" i="13"/>
  <c r="Y82" i="13" s="1"/>
  <c r="X74" i="13"/>
  <c r="Y74" i="13" s="1"/>
  <c r="AB66" i="13"/>
  <c r="AC66" i="13" s="1"/>
  <c r="AB63" i="13"/>
  <c r="AC63" i="13" s="1"/>
  <c r="AB61" i="13"/>
  <c r="AC61" i="13" s="1"/>
  <c r="AB60" i="13"/>
  <c r="AC60" i="13" s="1"/>
  <c r="X58" i="13"/>
  <c r="Y58" i="13" s="1"/>
  <c r="X57" i="13"/>
  <c r="Y57" i="13" s="1"/>
  <c r="X53" i="13"/>
  <c r="Y53" i="13" s="1"/>
  <c r="X47" i="13"/>
  <c r="Y47" i="13" s="1"/>
  <c r="X32" i="13"/>
  <c r="Y32" i="13" s="1"/>
  <c r="G80" i="13"/>
  <c r="G84" i="13" s="1"/>
  <c r="X19" i="13"/>
  <c r="Y19" i="13" s="1"/>
  <c r="AB37" i="13"/>
  <c r="AC37" i="13" s="1"/>
  <c r="AB70" i="13"/>
  <c r="AC70" i="13" s="1"/>
  <c r="X66" i="13"/>
  <c r="Y66" i="13" s="1"/>
  <c r="X60" i="13"/>
  <c r="Y60" i="13" s="1"/>
  <c r="X55" i="13"/>
  <c r="Y55" i="13" s="1"/>
  <c r="X33" i="13"/>
  <c r="Y33" i="13" s="1"/>
  <c r="X70" i="13"/>
  <c r="Y70" i="13" s="1"/>
  <c r="X15" i="13"/>
  <c r="Y15" i="13" s="1"/>
  <c r="AB82" i="13"/>
  <c r="AC82" i="13" s="1"/>
  <c r="X72" i="13"/>
  <c r="Y72" i="13" s="1"/>
  <c r="AB58" i="13"/>
  <c r="AC58" i="13" s="1"/>
  <c r="AB57" i="13"/>
  <c r="AC57" i="13" s="1"/>
  <c r="AB47" i="13"/>
  <c r="AC47" i="13" s="1"/>
  <c r="AB18" i="13"/>
  <c r="AC18" i="13" s="1"/>
  <c r="AB17" i="13"/>
  <c r="AC17" i="13" s="1"/>
  <c r="AB64" i="13"/>
  <c r="AC64" i="13" s="1"/>
  <c r="X45" i="13"/>
  <c r="Y45" i="13" s="1"/>
  <c r="X37" i="13"/>
  <c r="Y37" i="13" s="1"/>
  <c r="AB15" i="13"/>
  <c r="AC15" i="13" s="1"/>
  <c r="X71" i="13"/>
  <c r="Y71" i="13" s="1"/>
  <c r="H80" i="13"/>
  <c r="H84" i="13" s="1"/>
  <c r="X18" i="13"/>
  <c r="Y18" i="13" s="1"/>
  <c r="AB43" i="13"/>
  <c r="AC43" i="13" s="1"/>
  <c r="V23" i="13"/>
  <c r="V27" i="13" s="1"/>
  <c r="C80" i="13"/>
  <c r="C84" i="13" s="1"/>
  <c r="W40" i="13"/>
  <c r="E25" i="13"/>
  <c r="E22" i="13"/>
  <c r="E15" i="13"/>
  <c r="E17" i="13"/>
  <c r="L78" i="13"/>
  <c r="L80" i="13" s="1"/>
  <c r="L84" i="13" s="1"/>
  <c r="AB51" i="13"/>
  <c r="AC51" i="13" s="1"/>
  <c r="AB49" i="13"/>
  <c r="AC49" i="13" s="1"/>
  <c r="Q80" i="13"/>
  <c r="Q84" i="13" s="1"/>
  <c r="E21" i="13"/>
  <c r="AB69" i="13"/>
  <c r="AC69" i="13" s="1"/>
  <c r="AB52" i="13"/>
  <c r="AC52" i="13" s="1"/>
  <c r="AB20" i="13"/>
  <c r="AC20" i="13" s="1"/>
  <c r="E20" i="13"/>
  <c r="E19" i="13"/>
  <c r="M80" i="13"/>
  <c r="M84" i="13" s="1"/>
  <c r="AB72" i="13"/>
  <c r="AC72" i="13" s="1"/>
  <c r="X73" i="13"/>
  <c r="Y73" i="13" s="1"/>
  <c r="AB71" i="13"/>
  <c r="AC71" i="13" s="1"/>
  <c r="AB68" i="13"/>
  <c r="AC68" i="13" s="1"/>
  <c r="X62" i="13"/>
  <c r="Y62" i="13" s="1"/>
  <c r="AB59" i="13"/>
  <c r="AC59" i="13" s="1"/>
  <c r="X51" i="13"/>
  <c r="Y51" i="13" s="1"/>
  <c r="X49" i="13"/>
  <c r="Y49" i="13" s="1"/>
  <c r="AB46" i="13"/>
  <c r="AC46" i="13" s="1"/>
  <c r="AB45" i="13"/>
  <c r="AC45" i="13" s="1"/>
  <c r="X21" i="13"/>
  <c r="Y21" i="13" s="1"/>
  <c r="AB19" i="13"/>
  <c r="AC19" i="13" s="1"/>
  <c r="E18" i="13"/>
  <c r="E16" i="13"/>
  <c r="X13" i="13"/>
  <c r="Y13" i="13" s="1"/>
  <c r="V76" i="13"/>
  <c r="X35" i="13"/>
  <c r="Y35" i="13" s="1"/>
  <c r="V40" i="13"/>
  <c r="O14" i="13"/>
  <c r="N23" i="13"/>
  <c r="T43" i="13"/>
  <c r="S76" i="13"/>
  <c r="T76" i="13" s="1"/>
  <c r="N40" i="13"/>
  <c r="O33" i="13"/>
  <c r="AB73" i="13"/>
  <c r="AC73" i="13" s="1"/>
  <c r="AB36" i="13"/>
  <c r="AC36" i="13" s="1"/>
  <c r="R80" i="13"/>
  <c r="R84" i="13" s="1"/>
  <c r="W76" i="13"/>
  <c r="W78" i="13" s="1"/>
  <c r="S23" i="13"/>
  <c r="T14" i="13"/>
  <c r="D76" i="13"/>
  <c r="E76" i="13" s="1"/>
  <c r="X65" i="13"/>
  <c r="Y65" i="13" s="1"/>
  <c r="X63" i="13"/>
  <c r="Y63" i="13" s="1"/>
  <c r="X48" i="13"/>
  <c r="Y48" i="13" s="1"/>
  <c r="T33" i="13"/>
  <c r="S40" i="13"/>
  <c r="N76" i="13"/>
  <c r="O76" i="13" s="1"/>
  <c r="J43" i="13"/>
  <c r="I76" i="13"/>
  <c r="J76" i="13" s="1"/>
  <c r="B80" i="13"/>
  <c r="B84" i="13" s="1"/>
  <c r="X17" i="13"/>
  <c r="Y17" i="13" s="1"/>
  <c r="AA23" i="13"/>
  <c r="AA27" i="13" s="1"/>
  <c r="AB14" i="13"/>
  <c r="AC14" i="13" s="1"/>
  <c r="D23" i="13"/>
  <c r="I23" i="13"/>
  <c r="AB33" i="13"/>
  <c r="AC33" i="13" s="1"/>
  <c r="AA40" i="13"/>
  <c r="AA76" i="13"/>
  <c r="AB65" i="13"/>
  <c r="AC65" i="13" s="1"/>
  <c r="AB48" i="13"/>
  <c r="AC48" i="13" s="1"/>
  <c r="D40" i="13"/>
  <c r="AB32" i="13"/>
  <c r="I40" i="13"/>
  <c r="X16" i="13"/>
  <c r="Y16" i="13" s="1"/>
  <c r="W23" i="13"/>
  <c r="W27" i="13" s="1"/>
  <c r="AB13" i="13"/>
  <c r="AB23" i="13" l="1"/>
  <c r="W80" i="13"/>
  <c r="W84" i="13" s="1"/>
  <c r="X23" i="13"/>
  <c r="X40" i="13"/>
  <c r="Y40" i="13" s="1"/>
  <c r="V78" i="13"/>
  <c r="V80" i="13" s="1"/>
  <c r="V84" i="13" s="1"/>
  <c r="AB27" i="13"/>
  <c r="N27" i="13"/>
  <c r="O23" i="13"/>
  <c r="I78" i="13"/>
  <c r="J78" i="13" s="1"/>
  <c r="J40" i="13"/>
  <c r="AA78" i="13"/>
  <c r="AA80" i="13" s="1"/>
  <c r="AA84" i="13" s="1"/>
  <c r="AB84" i="13" s="1"/>
  <c r="AC84" i="13" s="1"/>
  <c r="AC32" i="13"/>
  <c r="AB40" i="13"/>
  <c r="Y23" i="13"/>
  <c r="X27" i="13"/>
  <c r="I27" i="13"/>
  <c r="J23" i="13"/>
  <c r="D78" i="13"/>
  <c r="E78" i="13" s="1"/>
  <c r="E40" i="13"/>
  <c r="E23" i="13"/>
  <c r="D27" i="13"/>
  <c r="N78" i="13"/>
  <c r="O78" i="13" s="1"/>
  <c r="O40" i="13"/>
  <c r="AC13" i="13"/>
  <c r="AC23" i="13"/>
  <c r="AB76" i="13"/>
  <c r="AC76" i="13" s="1"/>
  <c r="S27" i="13"/>
  <c r="T23" i="13"/>
  <c r="X76" i="13"/>
  <c r="Y76" i="13" s="1"/>
  <c r="S78" i="13"/>
  <c r="T78" i="13" s="1"/>
  <c r="T40" i="13"/>
  <c r="X78" i="13" l="1"/>
  <c r="X80" i="13" s="1"/>
  <c r="X84" i="13" s="1"/>
  <c r="J27" i="13"/>
  <c r="I80" i="13"/>
  <c r="E27" i="13"/>
  <c r="D80" i="13"/>
  <c r="O27" i="13"/>
  <c r="N80" i="13"/>
  <c r="Y27" i="13"/>
  <c r="T27" i="13"/>
  <c r="S80" i="13"/>
  <c r="AC40" i="13"/>
  <c r="AB78" i="13"/>
  <c r="AC78" i="13" s="1"/>
  <c r="AC27" i="13"/>
  <c r="B40" i="12"/>
  <c r="D13" i="12"/>
  <c r="E13" i="12" s="1"/>
  <c r="I13" i="12"/>
  <c r="J13" i="12" s="1"/>
  <c r="S13" i="12"/>
  <c r="T13" i="12" s="1"/>
  <c r="V13" i="12"/>
  <c r="W13" i="12"/>
  <c r="AB13" i="12" s="1"/>
  <c r="AC13" i="12" s="1"/>
  <c r="D14" i="12"/>
  <c r="I14" i="12"/>
  <c r="S14" i="12"/>
  <c r="T14" i="12" s="1"/>
  <c r="V14" i="12"/>
  <c r="W14" i="12"/>
  <c r="D15" i="12"/>
  <c r="I15" i="12"/>
  <c r="S15" i="12"/>
  <c r="T15" i="12" s="1"/>
  <c r="V15" i="12"/>
  <c r="W15" i="12"/>
  <c r="D17" i="12"/>
  <c r="I17" i="12"/>
  <c r="S17" i="12"/>
  <c r="T17" i="12" s="1"/>
  <c r="V17" i="12"/>
  <c r="W17" i="12"/>
  <c r="AB17" i="12" s="1"/>
  <c r="D16" i="12"/>
  <c r="E16" i="12" s="1"/>
  <c r="I16" i="12"/>
  <c r="J16" i="12" s="1"/>
  <c r="S16" i="12"/>
  <c r="T16" i="12" s="1"/>
  <c r="V16" i="12"/>
  <c r="W16" i="12"/>
  <c r="AB16" i="12" s="1"/>
  <c r="AC16" i="12" s="1"/>
  <c r="D19" i="12"/>
  <c r="I19" i="12"/>
  <c r="S19" i="12"/>
  <c r="T19" i="12" s="1"/>
  <c r="V19" i="12"/>
  <c r="W19" i="12"/>
  <c r="D20" i="12"/>
  <c r="I20" i="12"/>
  <c r="S20" i="12"/>
  <c r="T20" i="12" s="1"/>
  <c r="V20" i="12"/>
  <c r="W20" i="12"/>
  <c r="AB20" i="12" s="1"/>
  <c r="D18" i="12"/>
  <c r="E18" i="12" s="1"/>
  <c r="I18" i="12"/>
  <c r="J18" i="12" s="1"/>
  <c r="S18" i="12"/>
  <c r="T18" i="12" s="1"/>
  <c r="V18" i="12"/>
  <c r="W18" i="12"/>
  <c r="D21" i="12"/>
  <c r="I21" i="12"/>
  <c r="S21" i="12"/>
  <c r="T21" i="12" s="1"/>
  <c r="V21" i="12"/>
  <c r="W21" i="12"/>
  <c r="AB21" i="12" s="1"/>
  <c r="B23" i="12"/>
  <c r="C23" i="12"/>
  <c r="G23" i="12"/>
  <c r="H23" i="12"/>
  <c r="Q23" i="12"/>
  <c r="Q27" i="12" s="1"/>
  <c r="R23" i="12"/>
  <c r="R27" i="12" s="1"/>
  <c r="AA23" i="12"/>
  <c r="AA27" i="12" s="1"/>
  <c r="T24" i="12"/>
  <c r="D25" i="12"/>
  <c r="E25" i="12" s="1"/>
  <c r="I25" i="12"/>
  <c r="J25" i="12" s="1"/>
  <c r="S25" i="12"/>
  <c r="T25" i="12" s="1"/>
  <c r="V25" i="12"/>
  <c r="W25" i="12"/>
  <c r="T26" i="12"/>
  <c r="H27" i="12"/>
  <c r="D32" i="12"/>
  <c r="E32" i="12" s="1"/>
  <c r="I32" i="12"/>
  <c r="J32" i="12" s="1"/>
  <c r="S32" i="12"/>
  <c r="T32" i="12" s="1"/>
  <c r="V32" i="12"/>
  <c r="W32" i="12"/>
  <c r="AB32" i="12" s="1"/>
  <c r="E33" i="12"/>
  <c r="J33" i="12"/>
  <c r="S33" i="12"/>
  <c r="T33" i="12" s="1"/>
  <c r="V33" i="12"/>
  <c r="W33" i="12"/>
  <c r="D36" i="12"/>
  <c r="E36" i="12" s="1"/>
  <c r="I36" i="12"/>
  <c r="J36" i="12" s="1"/>
  <c r="S36" i="12"/>
  <c r="T36" i="12" s="1"/>
  <c r="V36" i="12"/>
  <c r="W36" i="12"/>
  <c r="AB36" i="12" s="1"/>
  <c r="AC36" i="12" s="1"/>
  <c r="D38" i="12"/>
  <c r="I38" i="12"/>
  <c r="S38" i="12"/>
  <c r="T38" i="12" s="1"/>
  <c r="V38" i="12"/>
  <c r="W38" i="12"/>
  <c r="AB38" i="12" s="1"/>
  <c r="D34" i="12"/>
  <c r="E34" i="12" s="1"/>
  <c r="I34" i="12"/>
  <c r="J34" i="12" s="1"/>
  <c r="S34" i="12"/>
  <c r="T34" i="12" s="1"/>
  <c r="V34" i="12"/>
  <c r="W34" i="12"/>
  <c r="AB34" i="12" s="1"/>
  <c r="AC34" i="12" s="1"/>
  <c r="D35" i="12"/>
  <c r="E35" i="12" s="1"/>
  <c r="I35" i="12"/>
  <c r="J35" i="12" s="1"/>
  <c r="S35" i="12"/>
  <c r="T35" i="12" s="1"/>
  <c r="V35" i="12"/>
  <c r="W35" i="12"/>
  <c r="AB35" i="12" s="1"/>
  <c r="AC35" i="12" s="1"/>
  <c r="D39" i="12"/>
  <c r="I39" i="12"/>
  <c r="S39" i="12"/>
  <c r="T39" i="12" s="1"/>
  <c r="V39" i="12"/>
  <c r="W39" i="12"/>
  <c r="AB39" i="12" s="1"/>
  <c r="C40" i="12"/>
  <c r="G40" i="12"/>
  <c r="H40" i="12"/>
  <c r="Q40" i="12"/>
  <c r="R40" i="12"/>
  <c r="AA40" i="12"/>
  <c r="D43" i="12"/>
  <c r="E43" i="12" s="1"/>
  <c r="I43" i="12"/>
  <c r="J43" i="12" s="1"/>
  <c r="S43" i="12"/>
  <c r="T43" i="12" s="1"/>
  <c r="V43" i="12"/>
  <c r="W43" i="12"/>
  <c r="AB43" i="12" s="1"/>
  <c r="AC43" i="12" s="1"/>
  <c r="D44" i="12"/>
  <c r="I44" i="12"/>
  <c r="J44" i="12" s="1"/>
  <c r="S44" i="12"/>
  <c r="T44" i="12" s="1"/>
  <c r="V44" i="12"/>
  <c r="W44" i="12"/>
  <c r="AB44" i="12" s="1"/>
  <c r="AC44" i="12" s="1"/>
  <c r="D45" i="12"/>
  <c r="I45" i="12"/>
  <c r="S45" i="12"/>
  <c r="T45" i="12" s="1"/>
  <c r="V45" i="12"/>
  <c r="W45" i="12"/>
  <c r="AB45" i="12" s="1"/>
  <c r="D46" i="12"/>
  <c r="E46" i="12" s="1"/>
  <c r="I46" i="12"/>
  <c r="J46" i="12" s="1"/>
  <c r="S46" i="12"/>
  <c r="T46" i="12" s="1"/>
  <c r="V46" i="12"/>
  <c r="W46" i="12"/>
  <c r="AB46" i="12" s="1"/>
  <c r="AC46" i="12" s="1"/>
  <c r="D47" i="12"/>
  <c r="I47" i="12"/>
  <c r="S47" i="12"/>
  <c r="T47" i="12" s="1"/>
  <c r="V47" i="12"/>
  <c r="W47" i="12"/>
  <c r="AB47" i="12" s="1"/>
  <c r="D48" i="12"/>
  <c r="E48" i="12" s="1"/>
  <c r="I48" i="12"/>
  <c r="J48" i="12" s="1"/>
  <c r="S48" i="12"/>
  <c r="T48" i="12" s="1"/>
  <c r="V48" i="12"/>
  <c r="W48" i="12"/>
  <c r="AB48" i="12" s="1"/>
  <c r="AC48" i="12" s="1"/>
  <c r="D49" i="12"/>
  <c r="E49" i="12" s="1"/>
  <c r="I49" i="12"/>
  <c r="J49" i="12" s="1"/>
  <c r="S49" i="12"/>
  <c r="T49" i="12" s="1"/>
  <c r="V49" i="12"/>
  <c r="W49" i="12"/>
  <c r="AB49" i="12" s="1"/>
  <c r="AC49" i="12" s="1"/>
  <c r="D50" i="12"/>
  <c r="E50" i="12" s="1"/>
  <c r="I50" i="12"/>
  <c r="J50" i="12" s="1"/>
  <c r="S50" i="12"/>
  <c r="T50" i="12" s="1"/>
  <c r="V50" i="12"/>
  <c r="W50" i="12"/>
  <c r="AB50" i="12" s="1"/>
  <c r="AC50" i="12" s="1"/>
  <c r="D51" i="12"/>
  <c r="E51" i="12" s="1"/>
  <c r="I51" i="12"/>
  <c r="J51" i="12" s="1"/>
  <c r="S51" i="12"/>
  <c r="T51" i="12" s="1"/>
  <c r="V51" i="12"/>
  <c r="W51" i="12"/>
  <c r="AB51" i="12" s="1"/>
  <c r="AC51" i="12" s="1"/>
  <c r="D52" i="12"/>
  <c r="E52" i="12" s="1"/>
  <c r="I52" i="12"/>
  <c r="J52" i="12" s="1"/>
  <c r="S52" i="12"/>
  <c r="T52" i="12" s="1"/>
  <c r="V52" i="12"/>
  <c r="W52" i="12"/>
  <c r="AC52" i="12"/>
  <c r="D53" i="12"/>
  <c r="I53" i="12"/>
  <c r="S53" i="12"/>
  <c r="T53" i="12" s="1"/>
  <c r="V53" i="12"/>
  <c r="W53" i="12"/>
  <c r="AB53" i="12" s="1"/>
  <c r="D54" i="12"/>
  <c r="I54" i="12"/>
  <c r="S54" i="12"/>
  <c r="T54" i="12" s="1"/>
  <c r="V54" i="12"/>
  <c r="W54" i="12"/>
  <c r="AB54" i="12" s="1"/>
  <c r="D55" i="12"/>
  <c r="E55" i="12" s="1"/>
  <c r="I55" i="12"/>
  <c r="J55" i="12" s="1"/>
  <c r="S55" i="12"/>
  <c r="T55" i="12" s="1"/>
  <c r="V55" i="12"/>
  <c r="W55" i="12"/>
  <c r="AB55" i="12" s="1"/>
  <c r="AC55" i="12" s="1"/>
  <c r="D56" i="12"/>
  <c r="I56" i="12"/>
  <c r="S56" i="12"/>
  <c r="T56" i="12" s="1"/>
  <c r="V56" i="12"/>
  <c r="W56" i="12"/>
  <c r="D57" i="12"/>
  <c r="I57" i="12"/>
  <c r="S57" i="12"/>
  <c r="T57" i="12" s="1"/>
  <c r="V57" i="12"/>
  <c r="W57" i="12"/>
  <c r="D58" i="12"/>
  <c r="E58" i="12" s="1"/>
  <c r="I58" i="12"/>
  <c r="J58" i="12" s="1"/>
  <c r="S58" i="12"/>
  <c r="T58" i="12" s="1"/>
  <c r="V58" i="12"/>
  <c r="W58" i="12"/>
  <c r="AB58" i="12" s="1"/>
  <c r="AC58" i="12" s="1"/>
  <c r="D59" i="12"/>
  <c r="E59" i="12" s="1"/>
  <c r="I59" i="12"/>
  <c r="J59" i="12" s="1"/>
  <c r="S59" i="12"/>
  <c r="T59" i="12" s="1"/>
  <c r="V59" i="12"/>
  <c r="W59" i="12"/>
  <c r="AB59" i="12" s="1"/>
  <c r="AC59" i="12" s="1"/>
  <c r="D60" i="12"/>
  <c r="I60" i="12"/>
  <c r="S60" i="12"/>
  <c r="T60" i="12" s="1"/>
  <c r="V60" i="12"/>
  <c r="W60" i="12"/>
  <c r="AB60" i="12" s="1"/>
  <c r="D61" i="12"/>
  <c r="E61" i="12" s="1"/>
  <c r="I61" i="12"/>
  <c r="J61" i="12" s="1"/>
  <c r="S61" i="12"/>
  <c r="T61" i="12" s="1"/>
  <c r="V61" i="12"/>
  <c r="W61" i="12"/>
  <c r="AB61" i="12" s="1"/>
  <c r="D62" i="12"/>
  <c r="I62" i="12"/>
  <c r="S62" i="12"/>
  <c r="T62" i="12" s="1"/>
  <c r="V62" i="12"/>
  <c r="W62" i="12"/>
  <c r="AB62" i="12" s="1"/>
  <c r="D64" i="12"/>
  <c r="I64" i="12"/>
  <c r="S64" i="12"/>
  <c r="T64" i="12" s="1"/>
  <c r="V64" i="12"/>
  <c r="W64" i="12"/>
  <c r="AB64" i="12" s="1"/>
  <c r="D66" i="12"/>
  <c r="E66" i="12" s="1"/>
  <c r="I66" i="12"/>
  <c r="J66" i="12" s="1"/>
  <c r="S66" i="12"/>
  <c r="T66" i="12" s="1"/>
  <c r="V66" i="12"/>
  <c r="W66" i="12"/>
  <c r="D68" i="12"/>
  <c r="E68" i="12" s="1"/>
  <c r="I68" i="12"/>
  <c r="J68" i="12" s="1"/>
  <c r="S68" i="12"/>
  <c r="T68" i="12" s="1"/>
  <c r="V68" i="12"/>
  <c r="W68" i="12"/>
  <c r="AB68" i="12" s="1"/>
  <c r="D69" i="12"/>
  <c r="E69" i="12" s="1"/>
  <c r="I69" i="12"/>
  <c r="S69" i="12"/>
  <c r="T69" i="12" s="1"/>
  <c r="V69" i="12"/>
  <c r="W69" i="12"/>
  <c r="AB69" i="12" s="1"/>
  <c r="AC69" i="12" s="1"/>
  <c r="D71" i="12"/>
  <c r="I71" i="12"/>
  <c r="S71" i="12"/>
  <c r="T71" i="12" s="1"/>
  <c r="V71" i="12"/>
  <c r="W71" i="12"/>
  <c r="AB71" i="12" s="1"/>
  <c r="D72" i="12"/>
  <c r="E72" i="12" s="1"/>
  <c r="I72" i="12"/>
  <c r="J72" i="12" s="1"/>
  <c r="S72" i="12"/>
  <c r="T72" i="12" s="1"/>
  <c r="V72" i="12"/>
  <c r="W72" i="12"/>
  <c r="AB72" i="12" s="1"/>
  <c r="AC72" i="12" s="1"/>
  <c r="D73" i="12"/>
  <c r="E73" i="12" s="1"/>
  <c r="I73" i="12"/>
  <c r="J73" i="12" s="1"/>
  <c r="S73" i="12"/>
  <c r="T73" i="12" s="1"/>
  <c r="V73" i="12"/>
  <c r="W73" i="12"/>
  <c r="AB73" i="12" s="1"/>
  <c r="AC73" i="12" s="1"/>
  <c r="D74" i="12"/>
  <c r="I74" i="12"/>
  <c r="S74" i="12"/>
  <c r="V74" i="12"/>
  <c r="W74" i="12"/>
  <c r="AB74" i="12" s="1"/>
  <c r="B76" i="12"/>
  <c r="C76" i="12"/>
  <c r="G76" i="12"/>
  <c r="G78" i="12" s="1"/>
  <c r="H76" i="12"/>
  <c r="Q76" i="12"/>
  <c r="R76" i="12"/>
  <c r="AA76" i="12"/>
  <c r="D82" i="12"/>
  <c r="S82" i="12"/>
  <c r="T82" i="12" s="1"/>
  <c r="V82" i="12"/>
  <c r="AA82" i="12" s="1"/>
  <c r="W82" i="12"/>
  <c r="B20" i="11"/>
  <c r="C20" i="11"/>
  <c r="D20" i="11"/>
  <c r="F20" i="11"/>
  <c r="B30" i="11"/>
  <c r="C30" i="11"/>
  <c r="D30" i="11"/>
  <c r="F30" i="11"/>
  <c r="B39" i="11"/>
  <c r="C39" i="11"/>
  <c r="D39" i="11"/>
  <c r="F39" i="11"/>
  <c r="B57" i="11"/>
  <c r="C57" i="11"/>
  <c r="D57" i="11"/>
  <c r="F57" i="11"/>
  <c r="B63" i="11"/>
  <c r="C63" i="11"/>
  <c r="D63" i="11"/>
  <c r="F63" i="11"/>
  <c r="B70" i="11"/>
  <c r="C70" i="11"/>
  <c r="D70" i="11"/>
  <c r="F70" i="11"/>
  <c r="F72" i="11" s="1"/>
  <c r="D72" i="11"/>
  <c r="C72" i="11" l="1"/>
  <c r="B72" i="11"/>
  <c r="C43" i="11"/>
  <c r="B43" i="11"/>
  <c r="G27" i="12"/>
  <c r="C27" i="12"/>
  <c r="B27" i="12"/>
  <c r="Y78" i="13"/>
  <c r="AB80" i="13"/>
  <c r="X19" i="12"/>
  <c r="AC80" i="13"/>
  <c r="N84" i="13"/>
  <c r="O84" i="13" s="1"/>
  <c r="O80" i="13"/>
  <c r="D84" i="13"/>
  <c r="E84" i="13" s="1"/>
  <c r="E80" i="13"/>
  <c r="T80" i="13"/>
  <c r="S84" i="13"/>
  <c r="T84" i="13" s="1"/>
  <c r="J80" i="13"/>
  <c r="I84" i="13"/>
  <c r="J84" i="13" s="1"/>
  <c r="X61" i="12"/>
  <c r="Y61" i="12" s="1"/>
  <c r="AA78" i="12"/>
  <c r="AA80" i="12" s="1"/>
  <c r="AA84" i="12" s="1"/>
  <c r="X66" i="12"/>
  <c r="Y66" i="12" s="1"/>
  <c r="X17" i="12"/>
  <c r="X15" i="12"/>
  <c r="C78" i="12"/>
  <c r="X33" i="12"/>
  <c r="Y33" i="12" s="1"/>
  <c r="Q78" i="12"/>
  <c r="Q80" i="12" s="1"/>
  <c r="Q84" i="12" s="1"/>
  <c r="X14" i="12"/>
  <c r="X57" i="12"/>
  <c r="X36" i="12"/>
  <c r="Y36" i="12" s="1"/>
  <c r="X43" i="12"/>
  <c r="Y43" i="12" s="1"/>
  <c r="X34" i="12"/>
  <c r="Y34" i="12" s="1"/>
  <c r="X71" i="12"/>
  <c r="X59" i="12"/>
  <c r="Y59" i="12" s="1"/>
  <c r="X73" i="12"/>
  <c r="Y73" i="12" s="1"/>
  <c r="X39" i="12"/>
  <c r="V23" i="12"/>
  <c r="V27" i="12" s="1"/>
  <c r="AB15" i="12"/>
  <c r="S23" i="12"/>
  <c r="T23" i="12" s="1"/>
  <c r="X44" i="12"/>
  <c r="Y44" i="12" s="1"/>
  <c r="X51" i="12"/>
  <c r="Y51" i="12" s="1"/>
  <c r="X50" i="12"/>
  <c r="Y50" i="12" s="1"/>
  <c r="X49" i="12"/>
  <c r="Y49" i="12" s="1"/>
  <c r="X32" i="12"/>
  <c r="Y32" i="12" s="1"/>
  <c r="H78" i="12"/>
  <c r="H80" i="12" s="1"/>
  <c r="H84" i="12" s="1"/>
  <c r="X69" i="12"/>
  <c r="Y69" i="12" s="1"/>
  <c r="AB19" i="12"/>
  <c r="X72" i="12"/>
  <c r="Y72" i="12" s="1"/>
  <c r="B78" i="12"/>
  <c r="B80" i="12" s="1"/>
  <c r="B84" i="12" s="1"/>
  <c r="X16" i="12"/>
  <c r="Y16" i="12" s="1"/>
  <c r="X64" i="12"/>
  <c r="AB82" i="12"/>
  <c r="X53" i="12"/>
  <c r="X45" i="12"/>
  <c r="R78" i="12"/>
  <c r="R80" i="12" s="1"/>
  <c r="R84" i="12" s="1"/>
  <c r="X35" i="12"/>
  <c r="Y35" i="12" s="1"/>
  <c r="X58" i="12"/>
  <c r="Y58" i="12" s="1"/>
  <c r="X74" i="12"/>
  <c r="AB57" i="12"/>
  <c r="X46" i="12"/>
  <c r="Y46" i="12" s="1"/>
  <c r="C80" i="12"/>
  <c r="C84" i="12" s="1"/>
  <c r="X18" i="12"/>
  <c r="Y18" i="12" s="1"/>
  <c r="X20" i="12"/>
  <c r="G80" i="12"/>
  <c r="G84" i="12" s="1"/>
  <c r="V76" i="12"/>
  <c r="X48" i="12"/>
  <c r="Y48" i="12" s="1"/>
  <c r="X60" i="12"/>
  <c r="X38" i="12"/>
  <c r="D40" i="12"/>
  <c r="E40" i="12" s="1"/>
  <c r="X21" i="12"/>
  <c r="X56" i="12"/>
  <c r="Y56" i="12" s="1"/>
  <c r="I40" i="12"/>
  <c r="J40" i="12" s="1"/>
  <c r="X52" i="12"/>
  <c r="Y52" i="12" s="1"/>
  <c r="I23" i="12"/>
  <c r="J23" i="12" s="1"/>
  <c r="X82" i="12"/>
  <c r="X68" i="12"/>
  <c r="Y68" i="12" s="1"/>
  <c r="X62" i="12"/>
  <c r="X55" i="12"/>
  <c r="Y55" i="12" s="1"/>
  <c r="X54" i="12"/>
  <c r="D23" i="12"/>
  <c r="D27" i="12" s="1"/>
  <c r="X13" i="12"/>
  <c r="Y13" i="12" s="1"/>
  <c r="D43" i="11"/>
  <c r="F43" i="11"/>
  <c r="AC32" i="12"/>
  <c r="S76" i="12"/>
  <c r="T76" i="12" s="1"/>
  <c r="I76" i="12"/>
  <c r="J76" i="12" s="1"/>
  <c r="AB18" i="12"/>
  <c r="AC18" i="12" s="1"/>
  <c r="AB14" i="12"/>
  <c r="AB66" i="12"/>
  <c r="AC66" i="12" s="1"/>
  <c r="S40" i="12"/>
  <c r="D76" i="12"/>
  <c r="E76" i="12" s="1"/>
  <c r="AB56" i="12"/>
  <c r="AC56" i="12" s="1"/>
  <c r="W40" i="12"/>
  <c r="AB33" i="12"/>
  <c r="AC33" i="12" s="1"/>
  <c r="W23" i="12"/>
  <c r="W27" i="12" s="1"/>
  <c r="AB27" i="12" s="1"/>
  <c r="W76" i="12"/>
  <c r="X47" i="12"/>
  <c r="V40" i="12"/>
  <c r="D13" i="10"/>
  <c r="E13" i="10" s="1"/>
  <c r="H13" i="10"/>
  <c r="H13" i="27" s="1"/>
  <c r="I13" i="10"/>
  <c r="J13" i="10"/>
  <c r="N13" i="10"/>
  <c r="O13" i="10" s="1"/>
  <c r="S13" i="10"/>
  <c r="V13" i="10"/>
  <c r="X13" i="10"/>
  <c r="Y13" i="10"/>
  <c r="AB13" i="10"/>
  <c r="AC13" i="10" s="1"/>
  <c r="D14" i="10"/>
  <c r="I14" i="10"/>
  <c r="J14" i="10" s="1"/>
  <c r="N14" i="10"/>
  <c r="O14" i="10"/>
  <c r="S14" i="10"/>
  <c r="T14" i="10" s="1"/>
  <c r="V14" i="10"/>
  <c r="W14" i="10"/>
  <c r="B15" i="10"/>
  <c r="G15" i="10"/>
  <c r="N15" i="10"/>
  <c r="O15" i="10"/>
  <c r="S15" i="10"/>
  <c r="T15" i="10" s="1"/>
  <c r="V15" i="10"/>
  <c r="W15" i="10"/>
  <c r="B16" i="10"/>
  <c r="G16" i="10"/>
  <c r="N16" i="10"/>
  <c r="O16" i="10"/>
  <c r="S16" i="10"/>
  <c r="T16" i="10" s="1"/>
  <c r="V16" i="10"/>
  <c r="W16" i="10"/>
  <c r="B17" i="10"/>
  <c r="G17" i="10"/>
  <c r="H17" i="10"/>
  <c r="N17" i="10"/>
  <c r="S17" i="10"/>
  <c r="T17" i="10"/>
  <c r="V17" i="10"/>
  <c r="W17" i="10"/>
  <c r="X17" i="10" s="1"/>
  <c r="Y17" i="10" s="1"/>
  <c r="AB17" i="10"/>
  <c r="AC17" i="10" s="1"/>
  <c r="D18" i="10"/>
  <c r="E18" i="10"/>
  <c r="I18" i="10"/>
  <c r="J18" i="10" s="1"/>
  <c r="N18" i="10"/>
  <c r="O18" i="10"/>
  <c r="S18" i="10"/>
  <c r="T18" i="10" s="1"/>
  <c r="V18" i="10"/>
  <c r="W18" i="10"/>
  <c r="D19" i="10"/>
  <c r="E19" i="10" s="1"/>
  <c r="H19" i="10"/>
  <c r="I19" i="10"/>
  <c r="J19" i="10" s="1"/>
  <c r="N19" i="10"/>
  <c r="O19" i="10" s="1"/>
  <c r="S19" i="10"/>
  <c r="T19" i="10"/>
  <c r="V19" i="10"/>
  <c r="W19" i="10"/>
  <c r="AB19" i="10" s="1"/>
  <c r="AC19" i="10" s="1"/>
  <c r="X19" i="10"/>
  <c r="Y19" i="10" s="1"/>
  <c r="D20" i="10"/>
  <c r="E20" i="10"/>
  <c r="I20" i="10"/>
  <c r="J20" i="10" s="1"/>
  <c r="N20" i="10"/>
  <c r="O20" i="10" s="1"/>
  <c r="S20" i="10"/>
  <c r="T20" i="10" s="1"/>
  <c r="V20" i="10"/>
  <c r="W20" i="10"/>
  <c r="X20" i="10" s="1"/>
  <c r="Y20" i="10" s="1"/>
  <c r="AB20" i="10"/>
  <c r="AC20" i="10" s="1"/>
  <c r="D21" i="10"/>
  <c r="E21" i="10"/>
  <c r="I21" i="10"/>
  <c r="J21" i="10"/>
  <c r="N21" i="10"/>
  <c r="O21" i="10"/>
  <c r="Q21" i="10"/>
  <c r="W21" i="10"/>
  <c r="AB21" i="10" s="1"/>
  <c r="AC21" i="10"/>
  <c r="D22" i="10"/>
  <c r="E22" i="10" s="1"/>
  <c r="I22" i="10"/>
  <c r="J22" i="10"/>
  <c r="N22" i="10"/>
  <c r="O22" i="10" s="1"/>
  <c r="S22" i="10"/>
  <c r="T22" i="10"/>
  <c r="V22" i="10"/>
  <c r="W22" i="10"/>
  <c r="AB22" i="10"/>
  <c r="AC22" i="10" s="1"/>
  <c r="C27" i="10"/>
  <c r="H23" i="10"/>
  <c r="L23" i="10"/>
  <c r="L27" i="10" s="1"/>
  <c r="M23" i="10"/>
  <c r="M27" i="10" s="1"/>
  <c r="R23" i="10"/>
  <c r="R27" i="10" s="1"/>
  <c r="W23" i="10"/>
  <c r="AA23" i="10"/>
  <c r="T24" i="10"/>
  <c r="D25" i="10"/>
  <c r="E25" i="10"/>
  <c r="I25" i="10"/>
  <c r="J25" i="10" s="1"/>
  <c r="N25" i="10"/>
  <c r="O25" i="10"/>
  <c r="S25" i="10"/>
  <c r="T25" i="10" s="1"/>
  <c r="V25" i="10"/>
  <c r="W25" i="10"/>
  <c r="T26" i="10"/>
  <c r="AA27" i="10"/>
  <c r="B32" i="10"/>
  <c r="G32" i="10"/>
  <c r="H32" i="10"/>
  <c r="N32" i="10"/>
  <c r="S32" i="10"/>
  <c r="T32" i="10"/>
  <c r="W32" i="10"/>
  <c r="AB32" i="10"/>
  <c r="E33" i="10"/>
  <c r="J33" i="10"/>
  <c r="N33" i="10"/>
  <c r="O33" i="10"/>
  <c r="Q33" i="10"/>
  <c r="W33" i="10"/>
  <c r="AB33" i="10" s="1"/>
  <c r="AC33" i="10" s="1"/>
  <c r="B34" i="10"/>
  <c r="G34" i="10"/>
  <c r="H34" i="10"/>
  <c r="H34" i="27" s="1"/>
  <c r="W34" i="27" s="1"/>
  <c r="AB34" i="27" s="1"/>
  <c r="AC34" i="27" s="1"/>
  <c r="N34" i="10"/>
  <c r="O34" i="10" s="1"/>
  <c r="S34" i="10"/>
  <c r="T34" i="10"/>
  <c r="W34" i="10"/>
  <c r="AB34" i="10" s="1"/>
  <c r="AC34" i="10" s="1"/>
  <c r="B35" i="10"/>
  <c r="G35" i="10"/>
  <c r="H35" i="10"/>
  <c r="H35" i="27" s="1"/>
  <c r="N35" i="10"/>
  <c r="O35" i="10" s="1"/>
  <c r="S35" i="10"/>
  <c r="T35" i="10"/>
  <c r="V35" i="10"/>
  <c r="W35" i="10"/>
  <c r="AB35" i="10"/>
  <c r="AC35" i="10" s="1"/>
  <c r="B36" i="10"/>
  <c r="G36" i="10"/>
  <c r="N36" i="10"/>
  <c r="O36" i="10" s="1"/>
  <c r="S36" i="10"/>
  <c r="T36" i="10"/>
  <c r="V36" i="10"/>
  <c r="W36" i="10"/>
  <c r="AB36" i="10"/>
  <c r="AC36" i="10" s="1"/>
  <c r="B37" i="10"/>
  <c r="G37" i="10"/>
  <c r="H37" i="10"/>
  <c r="H37" i="27" s="1"/>
  <c r="W37" i="27" s="1"/>
  <c r="AB37" i="27" s="1"/>
  <c r="AC37" i="27" s="1"/>
  <c r="N37" i="10"/>
  <c r="O37" i="10"/>
  <c r="S37" i="10"/>
  <c r="T37" i="10"/>
  <c r="W37" i="10"/>
  <c r="AB37" i="10" s="1"/>
  <c r="AC37" i="10" s="1"/>
  <c r="E38" i="10"/>
  <c r="J38" i="10"/>
  <c r="N38" i="10"/>
  <c r="O38" i="10" s="1"/>
  <c r="Q38" i="10"/>
  <c r="S38" i="10"/>
  <c r="T38" i="10"/>
  <c r="V38" i="10"/>
  <c r="W38" i="10"/>
  <c r="AB38" i="10"/>
  <c r="AC38" i="10" s="1"/>
  <c r="D39" i="10"/>
  <c r="E39" i="10"/>
  <c r="I39" i="10"/>
  <c r="J39" i="10" s="1"/>
  <c r="N39" i="10"/>
  <c r="O39" i="10"/>
  <c r="S39" i="10"/>
  <c r="T39" i="10" s="1"/>
  <c r="V39" i="10"/>
  <c r="W39" i="10"/>
  <c r="AB39" i="10" s="1"/>
  <c r="AC39" i="10" s="1"/>
  <c r="B40" i="10"/>
  <c r="C40" i="10"/>
  <c r="G40" i="10"/>
  <c r="L40" i="10"/>
  <c r="M40" i="10"/>
  <c r="Q40" i="10"/>
  <c r="R40" i="10"/>
  <c r="AA40" i="10"/>
  <c r="AA78" i="10" s="1"/>
  <c r="AA80" i="10" s="1"/>
  <c r="D43" i="10"/>
  <c r="E43" i="10"/>
  <c r="G43" i="10"/>
  <c r="H43" i="10"/>
  <c r="I43" i="10"/>
  <c r="J43" i="10"/>
  <c r="N43" i="10"/>
  <c r="O43" i="10"/>
  <c r="S43" i="10"/>
  <c r="T43" i="10"/>
  <c r="V43" i="10"/>
  <c r="E44" i="10"/>
  <c r="J44" i="10"/>
  <c r="N44" i="10"/>
  <c r="O44" i="10"/>
  <c r="Q44" i="10"/>
  <c r="S44" i="10"/>
  <c r="T44" i="10"/>
  <c r="V44" i="10"/>
  <c r="W44" i="10"/>
  <c r="AB44" i="10"/>
  <c r="AC44" i="10" s="1"/>
  <c r="E45" i="10"/>
  <c r="J45" i="10"/>
  <c r="N45" i="10"/>
  <c r="O45" i="10"/>
  <c r="S45" i="10"/>
  <c r="T45" i="10" s="1"/>
  <c r="V45" i="10"/>
  <c r="W45" i="10"/>
  <c r="AB45" i="10" s="1"/>
  <c r="AC45" i="10" s="1"/>
  <c r="E46" i="10"/>
  <c r="J46" i="10"/>
  <c r="N46" i="10"/>
  <c r="O46" i="10" s="1"/>
  <c r="S46" i="10"/>
  <c r="T46" i="10"/>
  <c r="V46" i="10"/>
  <c r="W46" i="10"/>
  <c r="AB46" i="10"/>
  <c r="AC46" i="10" s="1"/>
  <c r="B47" i="10"/>
  <c r="G47" i="10"/>
  <c r="N47" i="10"/>
  <c r="O47" i="10" s="1"/>
  <c r="S47" i="10"/>
  <c r="T47" i="10"/>
  <c r="V47" i="10"/>
  <c r="AB47" i="10"/>
  <c r="AC47" i="10"/>
  <c r="E48" i="10"/>
  <c r="G48" i="10"/>
  <c r="H48" i="10"/>
  <c r="H48" i="27" s="1"/>
  <c r="W48" i="27" s="1"/>
  <c r="N48" i="10"/>
  <c r="O48" i="10" s="1"/>
  <c r="S48" i="10"/>
  <c r="T48" i="10"/>
  <c r="V48" i="10"/>
  <c r="AB48" i="10"/>
  <c r="AC48" i="10"/>
  <c r="E49" i="10"/>
  <c r="J49" i="10"/>
  <c r="N49" i="10"/>
  <c r="O49" i="10"/>
  <c r="S49" i="10"/>
  <c r="T49" i="10" s="1"/>
  <c r="V49" i="10"/>
  <c r="W49" i="10"/>
  <c r="AB49" i="10" s="1"/>
  <c r="AC49" i="10"/>
  <c r="E50" i="10"/>
  <c r="J50" i="10"/>
  <c r="N50" i="10"/>
  <c r="O50" i="10" s="1"/>
  <c r="S50" i="10"/>
  <c r="T50" i="10"/>
  <c r="V50" i="10"/>
  <c r="W50" i="10"/>
  <c r="AB50" i="10"/>
  <c r="AC50" i="10" s="1"/>
  <c r="E51" i="10"/>
  <c r="J51" i="10"/>
  <c r="N51" i="10"/>
  <c r="O51" i="10"/>
  <c r="S51" i="10"/>
  <c r="T51" i="10" s="1"/>
  <c r="V51" i="10"/>
  <c r="W51" i="10"/>
  <c r="AB51" i="10" s="1"/>
  <c r="AC51" i="10" s="1"/>
  <c r="E52" i="10"/>
  <c r="J52" i="10"/>
  <c r="N52" i="10"/>
  <c r="O52" i="10" s="1"/>
  <c r="S52" i="10"/>
  <c r="T52" i="10"/>
  <c r="V52" i="10"/>
  <c r="W52" i="10"/>
  <c r="AC52" i="10"/>
  <c r="E53" i="10"/>
  <c r="G53" i="10"/>
  <c r="H53" i="10"/>
  <c r="N53" i="10"/>
  <c r="O53" i="10"/>
  <c r="S53" i="10"/>
  <c r="T53" i="10"/>
  <c r="V53" i="10"/>
  <c r="E54" i="10"/>
  <c r="J54" i="10"/>
  <c r="N54" i="10"/>
  <c r="O54" i="10"/>
  <c r="S54" i="10"/>
  <c r="T54" i="10"/>
  <c r="V54" i="10"/>
  <c r="W54" i="10"/>
  <c r="AB54" i="10" s="1"/>
  <c r="AC54" i="10" s="1"/>
  <c r="B55" i="10"/>
  <c r="G55" i="10"/>
  <c r="G55" i="27" s="1"/>
  <c r="H55" i="10"/>
  <c r="H55" i="27" s="1"/>
  <c r="W55" i="27" s="1"/>
  <c r="AB55" i="27" s="1"/>
  <c r="AC55" i="27" s="1"/>
  <c r="I55" i="10"/>
  <c r="J55" i="10" s="1"/>
  <c r="N55" i="10"/>
  <c r="O55" i="10"/>
  <c r="S55" i="10"/>
  <c r="T55" i="10" s="1"/>
  <c r="W55" i="10"/>
  <c r="AB55" i="10" s="1"/>
  <c r="AC55" i="10"/>
  <c r="B56" i="10"/>
  <c r="G56" i="10"/>
  <c r="G56" i="27" s="1"/>
  <c r="I56" i="27" s="1"/>
  <c r="J56" i="27" s="1"/>
  <c r="I56" i="10"/>
  <c r="J56" i="10" s="1"/>
  <c r="N56" i="10"/>
  <c r="O56" i="10"/>
  <c r="S56" i="10"/>
  <c r="T56" i="10" s="1"/>
  <c r="W56" i="10"/>
  <c r="AB56" i="10" s="1"/>
  <c r="AC56" i="10"/>
  <c r="D57" i="10"/>
  <c r="E57" i="10" s="1"/>
  <c r="I57" i="10"/>
  <c r="J57" i="10"/>
  <c r="N57" i="10"/>
  <c r="O57" i="10" s="1"/>
  <c r="S57" i="10"/>
  <c r="T57" i="10"/>
  <c r="V57" i="10"/>
  <c r="W57" i="10"/>
  <c r="AB57" i="10"/>
  <c r="AC57" i="10" s="1"/>
  <c r="B58" i="10"/>
  <c r="B58" i="27" s="1"/>
  <c r="D58" i="10"/>
  <c r="E58" i="10" s="1"/>
  <c r="G58" i="10"/>
  <c r="G58" i="27" s="1"/>
  <c r="I58" i="27" s="1"/>
  <c r="J58" i="27" s="1"/>
  <c r="I58" i="10"/>
  <c r="J58" i="10"/>
  <c r="N58" i="10"/>
  <c r="O58" i="10" s="1"/>
  <c r="S58" i="10"/>
  <c r="T58" i="10"/>
  <c r="V58" i="10"/>
  <c r="W58" i="10"/>
  <c r="AB58" i="10"/>
  <c r="AC58" i="10" s="1"/>
  <c r="B59" i="10"/>
  <c r="D59" i="10"/>
  <c r="E59" i="10"/>
  <c r="G59" i="10"/>
  <c r="H59" i="10"/>
  <c r="I59" i="10"/>
  <c r="J59" i="10"/>
  <c r="N59" i="10"/>
  <c r="O59" i="10"/>
  <c r="S59" i="10"/>
  <c r="T59" i="10"/>
  <c r="W59" i="10"/>
  <c r="AB59" i="10" s="1"/>
  <c r="AC59" i="10" s="1"/>
  <c r="D60" i="10"/>
  <c r="E60" i="10" s="1"/>
  <c r="I60" i="10"/>
  <c r="J60" i="10"/>
  <c r="N60" i="10"/>
  <c r="O60" i="10"/>
  <c r="S60" i="10"/>
  <c r="T60" i="10"/>
  <c r="V60" i="10"/>
  <c r="W60" i="10"/>
  <c r="AB60" i="10" s="1"/>
  <c r="AC60" i="10" s="1"/>
  <c r="B61" i="10"/>
  <c r="D61" i="10"/>
  <c r="E61" i="10"/>
  <c r="G61" i="10"/>
  <c r="H61" i="10"/>
  <c r="N61" i="10"/>
  <c r="O61" i="10" s="1"/>
  <c r="S61" i="10"/>
  <c r="T61" i="10"/>
  <c r="W61" i="10"/>
  <c r="AB61" i="10"/>
  <c r="AC61" i="10" s="1"/>
  <c r="B62" i="10"/>
  <c r="D62" i="10"/>
  <c r="E62" i="10"/>
  <c r="G62" i="10"/>
  <c r="G62" i="27" s="1"/>
  <c r="H62" i="10"/>
  <c r="H62" i="27" s="1"/>
  <c r="I62" i="10"/>
  <c r="J62" i="10"/>
  <c r="N62" i="10"/>
  <c r="O62" i="10"/>
  <c r="S62" i="10"/>
  <c r="T62" i="10"/>
  <c r="W62" i="10"/>
  <c r="AB62" i="10" s="1"/>
  <c r="AC62" i="10" s="1"/>
  <c r="D63" i="10"/>
  <c r="E63" i="10"/>
  <c r="I63" i="10"/>
  <c r="J63" i="10"/>
  <c r="N63" i="10"/>
  <c r="Q63" i="10"/>
  <c r="W63" i="10"/>
  <c r="AB63" i="10" s="1"/>
  <c r="AC63" i="10" s="1"/>
  <c r="D64" i="10"/>
  <c r="E64" i="10" s="1"/>
  <c r="H64" i="10"/>
  <c r="I64" i="10"/>
  <c r="J64" i="10" s="1"/>
  <c r="N64" i="10"/>
  <c r="O64" i="10"/>
  <c r="S64" i="10"/>
  <c r="T64" i="10"/>
  <c r="V64" i="10"/>
  <c r="B65" i="10"/>
  <c r="D65" i="10"/>
  <c r="E65" i="10" s="1"/>
  <c r="G65" i="10"/>
  <c r="G65" i="27" s="1"/>
  <c r="H65" i="10"/>
  <c r="H65" i="27" s="1"/>
  <c r="W65" i="27" s="1"/>
  <c r="I65" i="10"/>
  <c r="J65" i="10" s="1"/>
  <c r="N65" i="10"/>
  <c r="O65" i="10"/>
  <c r="S65" i="10"/>
  <c r="T65" i="10" s="1"/>
  <c r="W65" i="10"/>
  <c r="AB65" i="10" s="1"/>
  <c r="AC65" i="10" s="1"/>
  <c r="D66" i="10"/>
  <c r="E66" i="10" s="1"/>
  <c r="I66" i="10"/>
  <c r="J66" i="10" s="1"/>
  <c r="N66" i="10"/>
  <c r="O66" i="10" s="1"/>
  <c r="S66" i="10"/>
  <c r="T66" i="10"/>
  <c r="V66" i="10"/>
  <c r="W66" i="10"/>
  <c r="AB66" i="10"/>
  <c r="AC66" i="10" s="1"/>
  <c r="D67" i="10"/>
  <c r="E67" i="10"/>
  <c r="I67" i="10"/>
  <c r="J67" i="10" s="1"/>
  <c r="N67" i="10"/>
  <c r="O67" i="10"/>
  <c r="S67" i="10"/>
  <c r="T67" i="10" s="1"/>
  <c r="V67" i="10"/>
  <c r="W67" i="10"/>
  <c r="AB67" i="10" s="1"/>
  <c r="AC67" i="10"/>
  <c r="D68" i="10"/>
  <c r="E68" i="10" s="1"/>
  <c r="I68" i="10"/>
  <c r="J68" i="10" s="1"/>
  <c r="N68" i="10"/>
  <c r="O68" i="10" s="1"/>
  <c r="S68" i="10"/>
  <c r="T68" i="10"/>
  <c r="V68" i="10"/>
  <c r="W68" i="10"/>
  <c r="AB68" i="10"/>
  <c r="AC68" i="10" s="1"/>
  <c r="B69" i="10"/>
  <c r="D69" i="10"/>
  <c r="E69" i="10" s="1"/>
  <c r="G69" i="10"/>
  <c r="G69" i="27" s="1"/>
  <c r="I69" i="27" s="1"/>
  <c r="J69" i="27" s="1"/>
  <c r="I69" i="10"/>
  <c r="J69" i="10" s="1"/>
  <c r="N69" i="10"/>
  <c r="O69" i="10" s="1"/>
  <c r="S69" i="10"/>
  <c r="T69" i="10"/>
  <c r="V69" i="10"/>
  <c r="W69" i="10"/>
  <c r="AB69" i="10"/>
  <c r="AC69" i="10" s="1"/>
  <c r="D70" i="10"/>
  <c r="E70" i="10"/>
  <c r="I70" i="10"/>
  <c r="J70" i="10" s="1"/>
  <c r="N70" i="10"/>
  <c r="O70" i="10"/>
  <c r="S70" i="10"/>
  <c r="T70" i="10" s="1"/>
  <c r="V70" i="10"/>
  <c r="W70" i="10"/>
  <c r="AB70" i="10" s="1"/>
  <c r="AC70" i="10" s="1"/>
  <c r="D71" i="10"/>
  <c r="E71" i="10" s="1"/>
  <c r="I71" i="10"/>
  <c r="J71" i="10" s="1"/>
  <c r="N71" i="10"/>
  <c r="O71" i="10" s="1"/>
  <c r="S71" i="10"/>
  <c r="T71" i="10"/>
  <c r="V71" i="10"/>
  <c r="AB71" i="10"/>
  <c r="D72" i="10"/>
  <c r="E72" i="10" s="1"/>
  <c r="I72" i="10"/>
  <c r="J72" i="10" s="1"/>
  <c r="N72" i="10"/>
  <c r="O72" i="10"/>
  <c r="S72" i="10"/>
  <c r="T72" i="10" s="1"/>
  <c r="V72" i="10"/>
  <c r="X72" i="10" s="1"/>
  <c r="AB72" i="10"/>
  <c r="AC72" i="10" s="1"/>
  <c r="D73" i="10"/>
  <c r="E73" i="10" s="1"/>
  <c r="H73" i="10"/>
  <c r="I73" i="10"/>
  <c r="J73" i="10" s="1"/>
  <c r="N73" i="10"/>
  <c r="O73" i="10"/>
  <c r="S73" i="10"/>
  <c r="T73" i="10" s="1"/>
  <c r="V73" i="10"/>
  <c r="D74" i="10"/>
  <c r="E74" i="10" s="1"/>
  <c r="I74" i="10"/>
  <c r="J74" i="10" s="1"/>
  <c r="N74" i="10"/>
  <c r="Q74" i="10"/>
  <c r="W74" i="10"/>
  <c r="AB74" i="10" s="1"/>
  <c r="AC74" i="10" s="1"/>
  <c r="D75" i="10"/>
  <c r="E75" i="10" s="1"/>
  <c r="I75" i="10"/>
  <c r="J75" i="10"/>
  <c r="V75" i="10"/>
  <c r="W75" i="10"/>
  <c r="AB75" i="10"/>
  <c r="AC75" i="10" s="1"/>
  <c r="C76" i="10"/>
  <c r="C78" i="10" s="1"/>
  <c r="L76" i="10"/>
  <c r="M76" i="10"/>
  <c r="M78" i="10" s="1"/>
  <c r="N76" i="10"/>
  <c r="O76" i="10" s="1"/>
  <c r="R76" i="10"/>
  <c r="R78" i="10" s="1"/>
  <c r="D82" i="10"/>
  <c r="E82" i="10"/>
  <c r="I82" i="10"/>
  <c r="J82" i="10"/>
  <c r="N82" i="10"/>
  <c r="O82" i="10"/>
  <c r="S82" i="10"/>
  <c r="T82" i="10"/>
  <c r="V82" i="10"/>
  <c r="W82" i="10"/>
  <c r="AA82" i="10"/>
  <c r="AB82" i="10" s="1"/>
  <c r="AC82" i="10" s="1"/>
  <c r="B20" i="9"/>
  <c r="C20" i="9"/>
  <c r="D20" i="9"/>
  <c r="E20" i="9"/>
  <c r="F20" i="9"/>
  <c r="B30" i="9"/>
  <c r="C30" i="9"/>
  <c r="D30" i="9"/>
  <c r="E30" i="9"/>
  <c r="F30" i="9"/>
  <c r="B39" i="9"/>
  <c r="C39" i="9"/>
  <c r="D39" i="9"/>
  <c r="E39" i="9"/>
  <c r="F39" i="9"/>
  <c r="B57" i="9"/>
  <c r="C57" i="9"/>
  <c r="D57" i="9"/>
  <c r="F57" i="9"/>
  <c r="B63" i="9"/>
  <c r="C63" i="9"/>
  <c r="D63" i="9"/>
  <c r="E63" i="9"/>
  <c r="F63" i="9"/>
  <c r="B70" i="9"/>
  <c r="C70" i="9"/>
  <c r="D70" i="9"/>
  <c r="E70" i="9"/>
  <c r="E72" i="9" s="1"/>
  <c r="F70" i="9"/>
  <c r="X75" i="10" l="1"/>
  <c r="Y75" i="10" s="1"/>
  <c r="H73" i="27"/>
  <c r="X71" i="10"/>
  <c r="Y71" i="10" s="1"/>
  <c r="X70" i="10"/>
  <c r="Y70" i="10" s="1"/>
  <c r="X69" i="10"/>
  <c r="Y69" i="10" s="1"/>
  <c r="X68" i="10"/>
  <c r="Y68" i="10" s="1"/>
  <c r="X67" i="10"/>
  <c r="Y67" i="10" s="1"/>
  <c r="X66" i="10"/>
  <c r="Y66" i="10" s="1"/>
  <c r="AB65" i="27"/>
  <c r="AC65" i="27" s="1"/>
  <c r="I65" i="27"/>
  <c r="J65" i="27" s="1"/>
  <c r="V65" i="10"/>
  <c r="X65" i="10" s="1"/>
  <c r="Y65" i="10" s="1"/>
  <c r="B65" i="27"/>
  <c r="W64" i="10"/>
  <c r="I62" i="27"/>
  <c r="J62" i="27" s="1"/>
  <c r="W62" i="27"/>
  <c r="AB62" i="27" s="1"/>
  <c r="AC62" i="27" s="1"/>
  <c r="V62" i="10"/>
  <c r="B62" i="27"/>
  <c r="I61" i="10"/>
  <c r="J61" i="10" s="1"/>
  <c r="X60" i="10"/>
  <c r="Y60" i="10" s="1"/>
  <c r="V59" i="10"/>
  <c r="X59" i="10" s="1"/>
  <c r="Y59" i="10" s="1"/>
  <c r="X58" i="10"/>
  <c r="Y58" i="10" s="1"/>
  <c r="V58" i="27"/>
  <c r="X58" i="27" s="1"/>
  <c r="Y58" i="27" s="1"/>
  <c r="D58" i="27"/>
  <c r="E58" i="27" s="1"/>
  <c r="X57" i="10"/>
  <c r="Y57" i="10" s="1"/>
  <c r="B56" i="27"/>
  <c r="D56" i="10"/>
  <c r="I55" i="27"/>
  <c r="J55" i="27" s="1"/>
  <c r="B55" i="27"/>
  <c r="D55" i="10"/>
  <c r="E55" i="10" s="1"/>
  <c r="X54" i="10"/>
  <c r="Y54" i="10" s="1"/>
  <c r="H76" i="10"/>
  <c r="H53" i="27"/>
  <c r="W53" i="27" s="1"/>
  <c r="G53" i="27"/>
  <c r="I53" i="10"/>
  <c r="X52" i="10"/>
  <c r="Y52" i="10" s="1"/>
  <c r="X51" i="10"/>
  <c r="Y51" i="10" s="1"/>
  <c r="X50" i="10"/>
  <c r="Y50" i="10" s="1"/>
  <c r="X49" i="10"/>
  <c r="Y49" i="10" s="1"/>
  <c r="Y48" i="10"/>
  <c r="AB48" i="27"/>
  <c r="AC48" i="27" s="1"/>
  <c r="G48" i="27"/>
  <c r="I48" i="10"/>
  <c r="X47" i="10"/>
  <c r="Y47" i="10" s="1"/>
  <c r="G47" i="27"/>
  <c r="I47" i="27" s="1"/>
  <c r="J47" i="27" s="1"/>
  <c r="I47" i="10"/>
  <c r="J47" i="10" s="1"/>
  <c r="B47" i="27"/>
  <c r="D47" i="10"/>
  <c r="E47" i="10" s="1"/>
  <c r="X46" i="10"/>
  <c r="Y46" i="10" s="1"/>
  <c r="X45" i="10"/>
  <c r="X44" i="10"/>
  <c r="W43" i="10"/>
  <c r="AA84" i="10"/>
  <c r="L78" i="10"/>
  <c r="L80" i="10" s="1"/>
  <c r="L84" i="10" s="1"/>
  <c r="X39" i="10"/>
  <c r="Y39" i="10" s="1"/>
  <c r="X38" i="10"/>
  <c r="Y38" i="10" s="1"/>
  <c r="G37" i="27"/>
  <c r="I37" i="27" s="1"/>
  <c r="J37" i="27" s="1"/>
  <c r="I37" i="10"/>
  <c r="J37" i="10" s="1"/>
  <c r="V37" i="10"/>
  <c r="X37" i="10" s="1"/>
  <c r="Y37" i="10" s="1"/>
  <c r="B37" i="27"/>
  <c r="D37" i="10"/>
  <c r="E37" i="10" s="1"/>
  <c r="X36" i="10"/>
  <c r="Y36" i="10" s="1"/>
  <c r="I36" i="10"/>
  <c r="J36" i="10" s="1"/>
  <c r="D36" i="10"/>
  <c r="E36" i="10" s="1"/>
  <c r="X35" i="10"/>
  <c r="Y35" i="10" s="1"/>
  <c r="W35" i="27"/>
  <c r="AB35" i="27" s="1"/>
  <c r="AC35" i="27" s="1"/>
  <c r="G35" i="27"/>
  <c r="I35" i="27" s="1"/>
  <c r="J35" i="27" s="1"/>
  <c r="I35" i="10"/>
  <c r="J35" i="10" s="1"/>
  <c r="B35" i="27"/>
  <c r="D35" i="10"/>
  <c r="E35" i="10" s="1"/>
  <c r="G34" i="27"/>
  <c r="I34" i="27" s="1"/>
  <c r="J34" i="27" s="1"/>
  <c r="I34" i="10"/>
  <c r="J34" i="10" s="1"/>
  <c r="B34" i="27"/>
  <c r="D34" i="10"/>
  <c r="E34" i="10" s="1"/>
  <c r="H40" i="10"/>
  <c r="I32" i="10"/>
  <c r="D32" i="10"/>
  <c r="W27" i="10"/>
  <c r="R80" i="10"/>
  <c r="R84" i="10" s="1"/>
  <c r="H27" i="10"/>
  <c r="B27" i="10"/>
  <c r="X22" i="10"/>
  <c r="Y22" i="10" s="1"/>
  <c r="I17" i="10"/>
  <c r="J17" i="10" s="1"/>
  <c r="G17" i="27"/>
  <c r="D17" i="10"/>
  <c r="E17" i="10" s="1"/>
  <c r="B17" i="27"/>
  <c r="V17" i="27" s="1"/>
  <c r="I16" i="10"/>
  <c r="J16" i="10" s="1"/>
  <c r="G16" i="27"/>
  <c r="I16" i="27" s="1"/>
  <c r="J16" i="27" s="1"/>
  <c r="D16" i="10"/>
  <c r="E16" i="10" s="1"/>
  <c r="B16" i="27"/>
  <c r="I15" i="10"/>
  <c r="G15" i="27"/>
  <c r="I15" i="27" s="1"/>
  <c r="J15" i="27" s="1"/>
  <c r="D15" i="10"/>
  <c r="E15" i="10" s="1"/>
  <c r="B15" i="27"/>
  <c r="I13" i="27"/>
  <c r="W13" i="27"/>
  <c r="B72" i="9"/>
  <c r="B43" i="9"/>
  <c r="F72" i="9"/>
  <c r="F43" i="9"/>
  <c r="E43" i="9"/>
  <c r="D43" i="9"/>
  <c r="C72" i="9"/>
  <c r="D72" i="9"/>
  <c r="C43" i="9"/>
  <c r="AC71" i="10"/>
  <c r="Y84" i="13"/>
  <c r="Y80" i="13"/>
  <c r="S27" i="12"/>
  <c r="X40" i="12"/>
  <c r="I27" i="12"/>
  <c r="J27" i="12" s="1"/>
  <c r="X76" i="12"/>
  <c r="Y76" i="12" s="1"/>
  <c r="E23" i="12"/>
  <c r="AB23" i="12"/>
  <c r="AC23" i="12" s="1"/>
  <c r="AB76" i="12"/>
  <c r="AC76" i="12" s="1"/>
  <c r="V78" i="12"/>
  <c r="V80" i="12" s="1"/>
  <c r="V84" i="12" s="1"/>
  <c r="X23" i="12"/>
  <c r="X27" i="12" s="1"/>
  <c r="AC27" i="12"/>
  <c r="T40" i="12"/>
  <c r="S78" i="12"/>
  <c r="T78" i="12" s="1"/>
  <c r="AB40" i="12"/>
  <c r="W78" i="12"/>
  <c r="W80" i="12" s="1"/>
  <c r="W84" i="12" s="1"/>
  <c r="AB84" i="12" s="1"/>
  <c r="AC84" i="12" s="1"/>
  <c r="E27" i="12"/>
  <c r="T27" i="12"/>
  <c r="I78" i="12"/>
  <c r="J78" i="12" s="1"/>
  <c r="D78" i="12"/>
  <c r="E78" i="12" s="1"/>
  <c r="H78" i="10"/>
  <c r="J32" i="10"/>
  <c r="I40" i="10"/>
  <c r="N23" i="10"/>
  <c r="J53" i="10"/>
  <c r="AC32" i="10"/>
  <c r="AB40" i="10"/>
  <c r="E32" i="10"/>
  <c r="D40" i="10"/>
  <c r="AB27" i="10"/>
  <c r="J15" i="10"/>
  <c r="I23" i="10"/>
  <c r="X82" i="10"/>
  <c r="Y82" i="10" s="1"/>
  <c r="V61" i="10"/>
  <c r="W53" i="10"/>
  <c r="X53" i="10" s="1"/>
  <c r="S33" i="10"/>
  <c r="V33" i="10"/>
  <c r="M80" i="10"/>
  <c r="M84" i="10" s="1"/>
  <c r="S21" i="10"/>
  <c r="T21" i="10" s="1"/>
  <c r="V21" i="10"/>
  <c r="X21" i="10" s="1"/>
  <c r="Y21" i="10" s="1"/>
  <c r="Q23" i="10"/>
  <c r="Q27" i="10" s="1"/>
  <c r="X18" i="10"/>
  <c r="Y18" i="10" s="1"/>
  <c r="AB18" i="10"/>
  <c r="AC18" i="10" s="1"/>
  <c r="E14" i="10"/>
  <c r="D23" i="10"/>
  <c r="V55" i="10"/>
  <c r="B76" i="10"/>
  <c r="B78" i="10" s="1"/>
  <c r="B80" i="10" s="1"/>
  <c r="B84" i="10" s="1"/>
  <c r="Y53" i="10"/>
  <c r="G76" i="10"/>
  <c r="G78" i="10" s="1"/>
  <c r="V56" i="10"/>
  <c r="T13" i="10"/>
  <c r="S23" i="10"/>
  <c r="S74" i="10"/>
  <c r="V74" i="10"/>
  <c r="Y72" i="10"/>
  <c r="H80" i="10"/>
  <c r="H84" i="10" s="1"/>
  <c r="X16" i="10"/>
  <c r="Y16" i="10" s="1"/>
  <c r="X15" i="10"/>
  <c r="Y15" i="10" s="1"/>
  <c r="X14" i="10"/>
  <c r="Q76" i="10"/>
  <c r="Q78" i="10" s="1"/>
  <c r="S63" i="10"/>
  <c r="V63" i="10"/>
  <c r="Y45" i="10"/>
  <c r="O32" i="10"/>
  <c r="N40" i="10"/>
  <c r="C80" i="10"/>
  <c r="C84" i="10" s="1"/>
  <c r="O17" i="10"/>
  <c r="V34" i="10"/>
  <c r="X34" i="10" s="1"/>
  <c r="Y34" i="10" s="1"/>
  <c r="V32" i="10"/>
  <c r="AB16" i="10"/>
  <c r="AC16" i="10" s="1"/>
  <c r="AB15" i="10"/>
  <c r="AC15" i="10" s="1"/>
  <c r="AB14" i="10"/>
  <c r="G23" i="10"/>
  <c r="D13" i="8"/>
  <c r="E13" i="8" s="1"/>
  <c r="I13" i="8"/>
  <c r="J13" i="8" s="1"/>
  <c r="N13" i="8"/>
  <c r="O13" i="8" s="1"/>
  <c r="S13" i="8"/>
  <c r="T13" i="8" s="1"/>
  <c r="V13" i="8"/>
  <c r="W13" i="8"/>
  <c r="D18" i="8"/>
  <c r="E18" i="8" s="1"/>
  <c r="I18" i="8"/>
  <c r="J18" i="8" s="1"/>
  <c r="N18" i="8"/>
  <c r="O18" i="8" s="1"/>
  <c r="S18" i="8"/>
  <c r="T18" i="8" s="1"/>
  <c r="V18" i="8"/>
  <c r="W18" i="8"/>
  <c r="D14" i="8"/>
  <c r="E14" i="8" s="1"/>
  <c r="I14" i="8"/>
  <c r="J14" i="8" s="1"/>
  <c r="N14" i="8"/>
  <c r="O14" i="8" s="1"/>
  <c r="S14" i="8"/>
  <c r="T14" i="8" s="1"/>
  <c r="V14" i="8"/>
  <c r="W14" i="8"/>
  <c r="AB14" i="8" s="1"/>
  <c r="AC14" i="8" s="1"/>
  <c r="D16" i="8"/>
  <c r="E16" i="8" s="1"/>
  <c r="I16" i="8"/>
  <c r="J16" i="8" s="1"/>
  <c r="N16" i="8"/>
  <c r="O16" i="8" s="1"/>
  <c r="S16" i="8"/>
  <c r="T16" i="8" s="1"/>
  <c r="V16" i="8"/>
  <c r="W16" i="8"/>
  <c r="AB16" i="8" s="1"/>
  <c r="AC16" i="8" s="1"/>
  <c r="D15" i="8"/>
  <c r="E15" i="8" s="1"/>
  <c r="I15" i="8"/>
  <c r="J15" i="8" s="1"/>
  <c r="N15" i="8"/>
  <c r="O15" i="8" s="1"/>
  <c r="S15" i="8"/>
  <c r="T15" i="8" s="1"/>
  <c r="V15" i="8"/>
  <c r="W15" i="8"/>
  <c r="D19" i="8"/>
  <c r="E19" i="8" s="1"/>
  <c r="I19" i="8"/>
  <c r="J19" i="8" s="1"/>
  <c r="N19" i="8"/>
  <c r="O19" i="8" s="1"/>
  <c r="S19" i="8"/>
  <c r="T19" i="8" s="1"/>
  <c r="V19" i="8"/>
  <c r="W19" i="8"/>
  <c r="D20" i="8"/>
  <c r="E20" i="8" s="1"/>
  <c r="I20" i="8"/>
  <c r="J20" i="8" s="1"/>
  <c r="N20" i="8"/>
  <c r="O20" i="8" s="1"/>
  <c r="S20" i="8"/>
  <c r="T20" i="8" s="1"/>
  <c r="V20" i="8"/>
  <c r="W20" i="8"/>
  <c r="AB20" i="8" s="1"/>
  <c r="AC20" i="8" s="1"/>
  <c r="C17" i="8"/>
  <c r="D17" i="8" s="1"/>
  <c r="E17" i="8" s="1"/>
  <c r="H17" i="8"/>
  <c r="I17" i="8" s="1"/>
  <c r="N17" i="8"/>
  <c r="O17" i="8" s="1"/>
  <c r="S17" i="8"/>
  <c r="T17" i="8" s="1"/>
  <c r="V17" i="8"/>
  <c r="D21" i="8"/>
  <c r="E21" i="8" s="1"/>
  <c r="I21" i="8"/>
  <c r="J21" i="8" s="1"/>
  <c r="N21" i="8"/>
  <c r="O21" i="8" s="1"/>
  <c r="S21" i="8"/>
  <c r="T21" i="8" s="1"/>
  <c r="V21" i="8"/>
  <c r="W21" i="8"/>
  <c r="D22" i="8"/>
  <c r="E22" i="8" s="1"/>
  <c r="I22" i="8"/>
  <c r="J22" i="8" s="1"/>
  <c r="N22" i="8"/>
  <c r="O22" i="8" s="1"/>
  <c r="S22" i="8"/>
  <c r="V22" i="8"/>
  <c r="W22" i="8"/>
  <c r="B23" i="8"/>
  <c r="B27" i="8" s="1"/>
  <c r="G23" i="8"/>
  <c r="G27" i="8" s="1"/>
  <c r="L23" i="8"/>
  <c r="L27" i="8" s="1"/>
  <c r="M23" i="8"/>
  <c r="M27" i="8" s="1"/>
  <c r="Q23" i="8"/>
  <c r="Q27" i="8" s="1"/>
  <c r="R23" i="8"/>
  <c r="R27" i="8" s="1"/>
  <c r="AA23" i="8"/>
  <c r="AA27" i="8" s="1"/>
  <c r="T24" i="8"/>
  <c r="D25" i="8"/>
  <c r="E25" i="8" s="1"/>
  <c r="I25" i="8"/>
  <c r="J25" i="8" s="1"/>
  <c r="N25" i="8"/>
  <c r="O25" i="8" s="1"/>
  <c r="S25" i="8"/>
  <c r="T25" i="8" s="1"/>
  <c r="V25" i="8"/>
  <c r="W25" i="8"/>
  <c r="T26" i="8"/>
  <c r="B32" i="8"/>
  <c r="C32" i="8"/>
  <c r="C32" i="27" s="1"/>
  <c r="G32" i="8"/>
  <c r="G32" i="27" s="1"/>
  <c r="H32" i="8"/>
  <c r="AA32" i="8"/>
  <c r="D38" i="8"/>
  <c r="E38" i="8" s="1"/>
  <c r="I38" i="8"/>
  <c r="J38" i="8" s="1"/>
  <c r="N38" i="8"/>
  <c r="O38" i="8" s="1"/>
  <c r="S38" i="8"/>
  <c r="T38" i="8" s="1"/>
  <c r="V38" i="8"/>
  <c r="W38" i="8"/>
  <c r="AB38" i="8" s="1"/>
  <c r="AC38" i="8" s="1"/>
  <c r="D34" i="8"/>
  <c r="E34" i="8" s="1"/>
  <c r="I34" i="8"/>
  <c r="J34" i="8" s="1"/>
  <c r="N34" i="8"/>
  <c r="O34" i="8" s="1"/>
  <c r="S34" i="8"/>
  <c r="T34" i="8" s="1"/>
  <c r="V34" i="8"/>
  <c r="W34" i="8"/>
  <c r="AB34" i="8" s="1"/>
  <c r="AC34" i="8" s="1"/>
  <c r="D35" i="8"/>
  <c r="E35" i="8" s="1"/>
  <c r="I35" i="8"/>
  <c r="J35" i="8" s="1"/>
  <c r="N35" i="8"/>
  <c r="O35" i="8" s="1"/>
  <c r="S35" i="8"/>
  <c r="T35" i="8" s="1"/>
  <c r="V35" i="8"/>
  <c r="W35" i="8"/>
  <c r="AB35" i="8" s="1"/>
  <c r="AC35" i="8" s="1"/>
  <c r="D39" i="8"/>
  <c r="E39" i="8" s="1"/>
  <c r="I39" i="8"/>
  <c r="J39" i="8" s="1"/>
  <c r="N39" i="8"/>
  <c r="O39" i="8" s="1"/>
  <c r="S39" i="8"/>
  <c r="T39" i="8" s="1"/>
  <c r="V39" i="8"/>
  <c r="W39" i="8"/>
  <c r="AB39" i="8" s="1"/>
  <c r="AC39" i="8" s="1"/>
  <c r="F40" i="8"/>
  <c r="K40" i="8"/>
  <c r="L40" i="8"/>
  <c r="M40" i="8"/>
  <c r="P40" i="8"/>
  <c r="Q40" i="8"/>
  <c r="R40" i="8"/>
  <c r="U40" i="8"/>
  <c r="Z40" i="8"/>
  <c r="D43" i="8"/>
  <c r="E43" i="8" s="1"/>
  <c r="I43" i="8"/>
  <c r="J43" i="8" s="1"/>
  <c r="N43" i="8"/>
  <c r="O43" i="8" s="1"/>
  <c r="S43" i="8"/>
  <c r="T43" i="8" s="1"/>
  <c r="V43" i="8"/>
  <c r="W43" i="8"/>
  <c r="AB43" i="8" s="1"/>
  <c r="AC43" i="8" s="1"/>
  <c r="D44" i="8"/>
  <c r="E44" i="8" s="1"/>
  <c r="I44" i="8"/>
  <c r="J44" i="8" s="1"/>
  <c r="N44" i="8"/>
  <c r="O44" i="8" s="1"/>
  <c r="S44" i="8"/>
  <c r="T44" i="8" s="1"/>
  <c r="V44" i="8"/>
  <c r="W44" i="8"/>
  <c r="AA44" i="8"/>
  <c r="AB44" i="27" s="1"/>
  <c r="AC44" i="27" s="1"/>
  <c r="D45" i="8"/>
  <c r="E45" i="8" s="1"/>
  <c r="I45" i="8"/>
  <c r="J45" i="8" s="1"/>
  <c r="N45" i="8"/>
  <c r="O45" i="8" s="1"/>
  <c r="S45" i="8"/>
  <c r="T45" i="8" s="1"/>
  <c r="V45" i="8"/>
  <c r="W45" i="8"/>
  <c r="B46" i="8"/>
  <c r="B46" i="27" s="1"/>
  <c r="V46" i="27" s="1"/>
  <c r="C46" i="8"/>
  <c r="I46" i="8"/>
  <c r="J46" i="8" s="1"/>
  <c r="N46" i="8"/>
  <c r="O46" i="8" s="1"/>
  <c r="S46" i="8"/>
  <c r="T46" i="8" s="1"/>
  <c r="D47" i="8"/>
  <c r="E47" i="8" s="1"/>
  <c r="I47" i="8"/>
  <c r="J47" i="8" s="1"/>
  <c r="N47" i="8"/>
  <c r="O47" i="8" s="1"/>
  <c r="S47" i="8"/>
  <c r="T47" i="8" s="1"/>
  <c r="V47" i="8"/>
  <c r="W47" i="8"/>
  <c r="AB47" i="8" s="1"/>
  <c r="AC47" i="8" s="1"/>
  <c r="D48" i="8"/>
  <c r="E48" i="8" s="1"/>
  <c r="I48" i="8"/>
  <c r="J48" i="8" s="1"/>
  <c r="N48" i="8"/>
  <c r="O48" i="8" s="1"/>
  <c r="S48" i="8"/>
  <c r="T48" i="8" s="1"/>
  <c r="V48" i="8"/>
  <c r="W48" i="8"/>
  <c r="AB48" i="8" s="1"/>
  <c r="AC48" i="8" s="1"/>
  <c r="D49" i="8"/>
  <c r="E49" i="8" s="1"/>
  <c r="I49" i="8"/>
  <c r="J49" i="8" s="1"/>
  <c r="N49" i="8"/>
  <c r="O49" i="8" s="1"/>
  <c r="S49" i="8"/>
  <c r="T49" i="8" s="1"/>
  <c r="V49" i="8"/>
  <c r="W49" i="8"/>
  <c r="D51" i="8"/>
  <c r="E51" i="8" s="1"/>
  <c r="I51" i="8"/>
  <c r="J51" i="8" s="1"/>
  <c r="N51" i="8"/>
  <c r="O51" i="8" s="1"/>
  <c r="S51" i="8"/>
  <c r="T51" i="8" s="1"/>
  <c r="V51" i="8"/>
  <c r="W51" i="8"/>
  <c r="AB51" i="8" s="1"/>
  <c r="AC51" i="8" s="1"/>
  <c r="D52" i="8"/>
  <c r="E52" i="8" s="1"/>
  <c r="I52" i="8"/>
  <c r="J52" i="8" s="1"/>
  <c r="N52" i="8"/>
  <c r="O52" i="8" s="1"/>
  <c r="S52" i="8"/>
  <c r="T52" i="8" s="1"/>
  <c r="V52" i="8"/>
  <c r="W52" i="8"/>
  <c r="AB52" i="8" s="1"/>
  <c r="AC52" i="8" s="1"/>
  <c r="D53" i="8"/>
  <c r="E53" i="8" s="1"/>
  <c r="I53" i="8"/>
  <c r="J53" i="8" s="1"/>
  <c r="N53" i="8"/>
  <c r="O53" i="8" s="1"/>
  <c r="S53" i="8"/>
  <c r="T53" i="8" s="1"/>
  <c r="V53" i="8"/>
  <c r="W53" i="8"/>
  <c r="D54" i="8"/>
  <c r="E54" i="8" s="1"/>
  <c r="I54" i="8"/>
  <c r="J54" i="8" s="1"/>
  <c r="N54" i="8"/>
  <c r="O54" i="8" s="1"/>
  <c r="S54" i="8"/>
  <c r="T54" i="8" s="1"/>
  <c r="V54" i="8"/>
  <c r="W54" i="8"/>
  <c r="D55" i="8"/>
  <c r="E55" i="8" s="1"/>
  <c r="I55" i="8"/>
  <c r="J55" i="8" s="1"/>
  <c r="N55" i="8"/>
  <c r="O55" i="8" s="1"/>
  <c r="S55" i="8"/>
  <c r="T55" i="8" s="1"/>
  <c r="V55" i="8"/>
  <c r="W55" i="8"/>
  <c r="AB55" i="8" s="1"/>
  <c r="AC55" i="8" s="1"/>
  <c r="D56" i="8"/>
  <c r="E56" i="8" s="1"/>
  <c r="I56" i="8"/>
  <c r="J56" i="8" s="1"/>
  <c r="N56" i="8"/>
  <c r="O56" i="8" s="1"/>
  <c r="S56" i="8"/>
  <c r="T56" i="8" s="1"/>
  <c r="V56" i="8"/>
  <c r="W56" i="8"/>
  <c r="AB56" i="8" s="1"/>
  <c r="AC56" i="8" s="1"/>
  <c r="D57" i="8"/>
  <c r="E57" i="8" s="1"/>
  <c r="I57" i="8"/>
  <c r="J57" i="8" s="1"/>
  <c r="N57" i="8"/>
  <c r="O57" i="8" s="1"/>
  <c r="S57" i="8"/>
  <c r="T57" i="8" s="1"/>
  <c r="V57" i="8"/>
  <c r="W57" i="8"/>
  <c r="D58" i="8"/>
  <c r="E58" i="8" s="1"/>
  <c r="I58" i="8"/>
  <c r="J58" i="8" s="1"/>
  <c r="N58" i="8"/>
  <c r="O58" i="8" s="1"/>
  <c r="S58" i="8"/>
  <c r="T58" i="8" s="1"/>
  <c r="V58" i="8"/>
  <c r="W58" i="8"/>
  <c r="B59" i="8"/>
  <c r="D59" i="8" s="1"/>
  <c r="E59" i="8" s="1"/>
  <c r="I59" i="8"/>
  <c r="J59" i="8" s="1"/>
  <c r="N59" i="8"/>
  <c r="O59" i="8" s="1"/>
  <c r="S59" i="8"/>
  <c r="T59" i="8" s="1"/>
  <c r="W59" i="8"/>
  <c r="AA59" i="8"/>
  <c r="B60" i="8"/>
  <c r="D60" i="8" s="1"/>
  <c r="E60" i="8" s="1"/>
  <c r="I60" i="8"/>
  <c r="J60" i="8" s="1"/>
  <c r="N60" i="8"/>
  <c r="O60" i="8" s="1"/>
  <c r="S60" i="8"/>
  <c r="T60" i="8" s="1"/>
  <c r="W60" i="8"/>
  <c r="AA60" i="8"/>
  <c r="B61" i="8"/>
  <c r="B61" i="27" s="1"/>
  <c r="C61" i="8"/>
  <c r="C61" i="27" s="1"/>
  <c r="G61" i="8"/>
  <c r="G61" i="27" s="1"/>
  <c r="H61" i="8"/>
  <c r="N61" i="8"/>
  <c r="O61" i="8" s="1"/>
  <c r="S61" i="8"/>
  <c r="T61" i="8" s="1"/>
  <c r="AA61" i="8"/>
  <c r="D62" i="8"/>
  <c r="E62" i="8" s="1"/>
  <c r="I62" i="8"/>
  <c r="J62" i="8" s="1"/>
  <c r="N62" i="8"/>
  <c r="O62" i="8" s="1"/>
  <c r="S62" i="8"/>
  <c r="T62" i="8" s="1"/>
  <c r="V62" i="8"/>
  <c r="W62" i="8"/>
  <c r="AB62" i="8" s="1"/>
  <c r="AC62" i="8" s="1"/>
  <c r="B64" i="8"/>
  <c r="C64" i="8"/>
  <c r="W64" i="8" s="1"/>
  <c r="G64" i="8"/>
  <c r="I64" i="8" s="1"/>
  <c r="J64" i="8" s="1"/>
  <c r="N64" i="8"/>
  <c r="O64" i="8" s="1"/>
  <c r="S64" i="8"/>
  <c r="T64" i="8" s="1"/>
  <c r="AA64" i="8"/>
  <c r="C66" i="8"/>
  <c r="I66" i="8"/>
  <c r="J66" i="8" s="1"/>
  <c r="N66" i="8"/>
  <c r="O66" i="8" s="1"/>
  <c r="S66" i="8"/>
  <c r="T66" i="8" s="1"/>
  <c r="V66" i="8"/>
  <c r="AA66" i="8"/>
  <c r="D68" i="8"/>
  <c r="E68" i="8" s="1"/>
  <c r="I68" i="8"/>
  <c r="J68" i="8" s="1"/>
  <c r="N68" i="8"/>
  <c r="O68" i="8" s="1"/>
  <c r="S68" i="8"/>
  <c r="T68" i="8" s="1"/>
  <c r="V68" i="8"/>
  <c r="W68" i="8"/>
  <c r="AB68" i="8" s="1"/>
  <c r="AC68" i="8" s="1"/>
  <c r="B69" i="8"/>
  <c r="B69" i="27" s="1"/>
  <c r="C69" i="8"/>
  <c r="I69" i="8"/>
  <c r="J69" i="8" s="1"/>
  <c r="N69" i="8"/>
  <c r="O69" i="8" s="1"/>
  <c r="S69" i="8"/>
  <c r="T69" i="8" s="1"/>
  <c r="AA69" i="8"/>
  <c r="D50" i="8"/>
  <c r="E50" i="8" s="1"/>
  <c r="I50" i="8"/>
  <c r="J50" i="8" s="1"/>
  <c r="N50" i="8"/>
  <c r="O50" i="8" s="1"/>
  <c r="S50" i="8"/>
  <c r="T50" i="8" s="1"/>
  <c r="V50" i="8"/>
  <c r="W50" i="8"/>
  <c r="D70" i="8"/>
  <c r="E70" i="8" s="1"/>
  <c r="I70" i="8"/>
  <c r="J70" i="8" s="1"/>
  <c r="N70" i="8"/>
  <c r="O70" i="8" s="1"/>
  <c r="S70" i="8"/>
  <c r="T70" i="8" s="1"/>
  <c r="W70" i="8"/>
  <c r="X70" i="8" s="1"/>
  <c r="Y70" i="8" s="1"/>
  <c r="D73" i="8"/>
  <c r="E73" i="8" s="1"/>
  <c r="I73" i="8"/>
  <c r="J73" i="8" s="1"/>
  <c r="N73" i="8"/>
  <c r="O73" i="8" s="1"/>
  <c r="S73" i="8"/>
  <c r="T73" i="8" s="1"/>
  <c r="V73" i="8"/>
  <c r="W73" i="8"/>
  <c r="AB73" i="8" s="1"/>
  <c r="AC73" i="8" s="1"/>
  <c r="L76" i="8"/>
  <c r="M76" i="8"/>
  <c r="Q76" i="8"/>
  <c r="R76" i="8"/>
  <c r="Z76" i="8"/>
  <c r="D82" i="8"/>
  <c r="E82" i="8" s="1"/>
  <c r="I82" i="8"/>
  <c r="J82" i="8" s="1"/>
  <c r="N82" i="8"/>
  <c r="O82" i="8" s="1"/>
  <c r="S82" i="8"/>
  <c r="T82" i="8" s="1"/>
  <c r="V82" i="8"/>
  <c r="AA82" i="8" s="1"/>
  <c r="W82" i="8"/>
  <c r="B20" i="7"/>
  <c r="C20" i="7"/>
  <c r="D20" i="7"/>
  <c r="E20" i="7"/>
  <c r="F20" i="7"/>
  <c r="B30" i="7"/>
  <c r="C30" i="7"/>
  <c r="D30" i="7"/>
  <c r="E30" i="7"/>
  <c r="F30" i="7"/>
  <c r="B33" i="7"/>
  <c r="B39" i="7" s="1"/>
  <c r="C33" i="7"/>
  <c r="D33" i="7"/>
  <c r="D38" i="7"/>
  <c r="D39" i="7" s="1"/>
  <c r="C39" i="7"/>
  <c r="E39" i="7"/>
  <c r="F39" i="7"/>
  <c r="B56" i="7"/>
  <c r="B57" i="7" s="1"/>
  <c r="C56" i="7"/>
  <c r="C57" i="7" s="1"/>
  <c r="D56" i="7"/>
  <c r="D57" i="7" s="1"/>
  <c r="E57" i="7"/>
  <c r="F57" i="7"/>
  <c r="B63" i="7"/>
  <c r="C63" i="7"/>
  <c r="D63" i="7"/>
  <c r="E63" i="7"/>
  <c r="F63" i="7"/>
  <c r="B69" i="7"/>
  <c r="C69" i="7"/>
  <c r="D69" i="7"/>
  <c r="B70" i="7"/>
  <c r="C70" i="7"/>
  <c r="D70" i="7"/>
  <c r="D72" i="7" s="1"/>
  <c r="E70" i="7"/>
  <c r="F70" i="7"/>
  <c r="E72" i="7"/>
  <c r="F72" i="7"/>
  <c r="F43" i="7" l="1"/>
  <c r="E43" i="7"/>
  <c r="D43" i="7"/>
  <c r="C43" i="7"/>
  <c r="W69" i="8"/>
  <c r="C69" i="27"/>
  <c r="W69" i="27" s="1"/>
  <c r="AB69" i="27" s="1"/>
  <c r="AC69" i="27" s="1"/>
  <c r="V69" i="27"/>
  <c r="X69" i="27" s="1"/>
  <c r="Y69" i="27" s="1"/>
  <c r="D69" i="27"/>
  <c r="E69" i="27" s="1"/>
  <c r="D66" i="8"/>
  <c r="E66" i="8" s="1"/>
  <c r="C66" i="27"/>
  <c r="V61" i="27"/>
  <c r="D61" i="27"/>
  <c r="E61" i="27" s="1"/>
  <c r="W46" i="8"/>
  <c r="AB46" i="8" s="1"/>
  <c r="AC46" i="8" s="1"/>
  <c r="C46" i="27"/>
  <c r="AA40" i="27"/>
  <c r="H40" i="8"/>
  <c r="H32" i="27"/>
  <c r="I32" i="27"/>
  <c r="W32" i="27"/>
  <c r="B40" i="8"/>
  <c r="B32" i="27"/>
  <c r="G27" i="10"/>
  <c r="X63" i="10"/>
  <c r="Y63" i="10" s="1"/>
  <c r="X74" i="10"/>
  <c r="Y74" i="10" s="1"/>
  <c r="Y56" i="10"/>
  <c r="X55" i="10"/>
  <c r="Y55" i="10" s="1"/>
  <c r="X33" i="10"/>
  <c r="Y33" i="10" s="1"/>
  <c r="X61" i="10"/>
  <c r="Y61" i="10" s="1"/>
  <c r="X13" i="27"/>
  <c r="AB13" i="27"/>
  <c r="J13" i="27"/>
  <c r="D15" i="27"/>
  <c r="V15" i="27"/>
  <c r="D16" i="27"/>
  <c r="E16" i="27" s="1"/>
  <c r="V16" i="27"/>
  <c r="X16" i="27" s="1"/>
  <c r="Y16" i="27" s="1"/>
  <c r="V34" i="27"/>
  <c r="X34" i="27" s="1"/>
  <c r="Y34" i="27" s="1"/>
  <c r="D34" i="27"/>
  <c r="E34" i="27" s="1"/>
  <c r="V35" i="27"/>
  <c r="X35" i="27" s="1"/>
  <c r="Y35" i="27" s="1"/>
  <c r="D35" i="27"/>
  <c r="E35" i="27" s="1"/>
  <c r="D37" i="27"/>
  <c r="E37" i="27" s="1"/>
  <c r="V37" i="27"/>
  <c r="X37" i="27" s="1"/>
  <c r="Y37" i="27" s="1"/>
  <c r="W76" i="10"/>
  <c r="AB43" i="10"/>
  <c r="Y43" i="10"/>
  <c r="D47" i="27"/>
  <c r="E47" i="27" s="1"/>
  <c r="V47" i="27"/>
  <c r="X47" i="27" s="1"/>
  <c r="Y47" i="27" s="1"/>
  <c r="I48" i="27"/>
  <c r="J48" i="27" s="1"/>
  <c r="V48" i="27"/>
  <c r="X48" i="27" s="1"/>
  <c r="Y48" i="27" s="1"/>
  <c r="V53" i="27"/>
  <c r="X53" i="27" s="1"/>
  <c r="Y53" i="27" s="1"/>
  <c r="I53" i="27"/>
  <c r="J53" i="27" s="1"/>
  <c r="D55" i="27"/>
  <c r="E55" i="27" s="1"/>
  <c r="V55" i="27"/>
  <c r="X55" i="27" s="1"/>
  <c r="Y55" i="27" s="1"/>
  <c r="V56" i="27"/>
  <c r="X56" i="27" s="1"/>
  <c r="Y56" i="27" s="1"/>
  <c r="D56" i="27"/>
  <c r="E56" i="27" s="1"/>
  <c r="V62" i="27"/>
  <c r="X62" i="27" s="1"/>
  <c r="Y62" i="27" s="1"/>
  <c r="D62" i="27"/>
  <c r="E62" i="27" s="1"/>
  <c r="X62" i="10"/>
  <c r="Y62" i="10" s="1"/>
  <c r="AB64" i="10"/>
  <c r="AC64" i="10" s="1"/>
  <c r="X64" i="10"/>
  <c r="Y64" i="10" s="1"/>
  <c r="V65" i="27"/>
  <c r="X65" i="27" s="1"/>
  <c r="Y65" i="27" s="1"/>
  <c r="D65" i="27"/>
  <c r="E65" i="27" s="1"/>
  <c r="AB73" i="10"/>
  <c r="AC73" i="10" s="1"/>
  <c r="X73" i="10"/>
  <c r="Y73" i="10" s="1"/>
  <c r="W73" i="27"/>
  <c r="I73" i="27"/>
  <c r="J73" i="27" s="1"/>
  <c r="S80" i="12"/>
  <c r="X78" i="12"/>
  <c r="Y78" i="12" s="1"/>
  <c r="Y40" i="12"/>
  <c r="I80" i="12"/>
  <c r="J80" i="12" s="1"/>
  <c r="Y23" i="12"/>
  <c r="AB78" i="12"/>
  <c r="AB80" i="12" s="1"/>
  <c r="AC40" i="12"/>
  <c r="S84" i="12"/>
  <c r="T84" i="12" s="1"/>
  <c r="T80" i="12"/>
  <c r="D80" i="12"/>
  <c r="Y27" i="12"/>
  <c r="G80" i="10"/>
  <c r="G84" i="10" s="1"/>
  <c r="J23" i="10"/>
  <c r="I27" i="10"/>
  <c r="AB23" i="10"/>
  <c r="AC23" i="10" s="1"/>
  <c r="AC14" i="10"/>
  <c r="O40" i="10"/>
  <c r="N78" i="10"/>
  <c r="O78" i="10" s="1"/>
  <c r="E23" i="10"/>
  <c r="D27" i="10"/>
  <c r="E56" i="10"/>
  <c r="D76" i="10"/>
  <c r="E76" i="10" s="1"/>
  <c r="AC27" i="10"/>
  <c r="V76" i="10"/>
  <c r="T33" i="10"/>
  <c r="S40" i="10"/>
  <c r="X32" i="10"/>
  <c r="V40" i="10"/>
  <c r="V78" i="10" s="1"/>
  <c r="E40" i="10"/>
  <c r="O23" i="10"/>
  <c r="N27" i="10"/>
  <c r="S76" i="10"/>
  <c r="T76" i="10" s="1"/>
  <c r="Q80" i="10"/>
  <c r="Q84" i="10" s="1"/>
  <c r="AB53" i="10"/>
  <c r="J40" i="10"/>
  <c r="I76" i="10"/>
  <c r="J76" i="10" s="1"/>
  <c r="J48" i="10"/>
  <c r="Y44" i="10"/>
  <c r="X76" i="10"/>
  <c r="Y76" i="10" s="1"/>
  <c r="V23" i="10"/>
  <c r="V27" i="10" s="1"/>
  <c r="X23" i="10"/>
  <c r="Y14" i="10"/>
  <c r="T23" i="10"/>
  <c r="S27" i="10"/>
  <c r="AC40" i="10"/>
  <c r="R78" i="8"/>
  <c r="R80" i="8" s="1"/>
  <c r="R84" i="8" s="1"/>
  <c r="Q78" i="8"/>
  <c r="Q80" i="8" s="1"/>
  <c r="Q84" i="8" s="1"/>
  <c r="G76" i="8"/>
  <c r="X22" i="8"/>
  <c r="Y22" i="8" s="1"/>
  <c r="X56" i="8"/>
  <c r="Y56" i="8" s="1"/>
  <c r="V64" i="8"/>
  <c r="X64" i="8" s="1"/>
  <c r="Y64" i="8" s="1"/>
  <c r="X57" i="8"/>
  <c r="Y57" i="8" s="1"/>
  <c r="M78" i="8"/>
  <c r="M80" i="8" s="1"/>
  <c r="M84" i="8" s="1"/>
  <c r="AB82" i="8"/>
  <c r="AC82" i="8" s="1"/>
  <c r="X58" i="8"/>
  <c r="Y58" i="8" s="1"/>
  <c r="X13" i="8"/>
  <c r="Y13" i="8" s="1"/>
  <c r="X45" i="8"/>
  <c r="Y45" i="8" s="1"/>
  <c r="X47" i="8"/>
  <c r="Y47" i="8" s="1"/>
  <c r="X38" i="8"/>
  <c r="Y38" i="8" s="1"/>
  <c r="I32" i="8"/>
  <c r="J32" i="8" s="1"/>
  <c r="J40" i="8" s="1"/>
  <c r="AB60" i="8"/>
  <c r="AC60" i="8" s="1"/>
  <c r="H23" i="8"/>
  <c r="H27" i="8" s="1"/>
  <c r="C23" i="8"/>
  <c r="C27" i="8" s="1"/>
  <c r="X55" i="8"/>
  <c r="Y55" i="8" s="1"/>
  <c r="X49" i="8"/>
  <c r="Y49" i="8" s="1"/>
  <c r="X48" i="8"/>
  <c r="Y48" i="8" s="1"/>
  <c r="V23" i="8"/>
  <c r="V27" i="8" s="1"/>
  <c r="X18" i="8"/>
  <c r="Y18" i="8" s="1"/>
  <c r="C76" i="8"/>
  <c r="G40" i="8"/>
  <c r="AB44" i="8"/>
  <c r="AC44" i="8" s="1"/>
  <c r="X82" i="8"/>
  <c r="Y82" i="8" s="1"/>
  <c r="AB70" i="8"/>
  <c r="AC70" i="8" s="1"/>
  <c r="AB64" i="8"/>
  <c r="AC64" i="8" s="1"/>
  <c r="X34" i="8"/>
  <c r="Y34" i="8" s="1"/>
  <c r="X21" i="8"/>
  <c r="Y21" i="8" s="1"/>
  <c r="V61" i="8"/>
  <c r="AB59" i="8"/>
  <c r="AC59" i="8" s="1"/>
  <c r="X54" i="8"/>
  <c r="Y54" i="8" s="1"/>
  <c r="X53" i="8"/>
  <c r="Y53" i="8" s="1"/>
  <c r="X52" i="8"/>
  <c r="Y52" i="8" s="1"/>
  <c r="D46" i="8"/>
  <c r="E46" i="8" s="1"/>
  <c r="L78" i="8"/>
  <c r="L80" i="8" s="1"/>
  <c r="L84" i="8" s="1"/>
  <c r="I23" i="8"/>
  <c r="I27" i="8" s="1"/>
  <c r="D69" i="8"/>
  <c r="E69" i="8" s="1"/>
  <c r="X39" i="8"/>
  <c r="Y39" i="8" s="1"/>
  <c r="X35" i="8"/>
  <c r="Y35" i="8" s="1"/>
  <c r="W32" i="8"/>
  <c r="W40" i="8" s="1"/>
  <c r="W61" i="8"/>
  <c r="AB61" i="8" s="1"/>
  <c r="AC61" i="8" s="1"/>
  <c r="X73" i="8"/>
  <c r="Y73" i="8" s="1"/>
  <c r="X50" i="8"/>
  <c r="Y50" i="8" s="1"/>
  <c r="AB69" i="8"/>
  <c r="AC69" i="8" s="1"/>
  <c r="X62" i="8"/>
  <c r="Y62" i="8" s="1"/>
  <c r="X51" i="8"/>
  <c r="Y51" i="8" s="1"/>
  <c r="W17" i="8"/>
  <c r="W23" i="8" s="1"/>
  <c r="W27" i="8" s="1"/>
  <c r="S23" i="8"/>
  <c r="S27" i="8" s="1"/>
  <c r="N76" i="8"/>
  <c r="O76" i="8" s="1"/>
  <c r="X68" i="8"/>
  <c r="Y68" i="8" s="1"/>
  <c r="D64" i="8"/>
  <c r="E64" i="8" s="1"/>
  <c r="X44" i="8"/>
  <c r="Y44" i="8" s="1"/>
  <c r="X43" i="8"/>
  <c r="Y43" i="8" s="1"/>
  <c r="S40" i="8"/>
  <c r="V32" i="8"/>
  <c r="V40" i="8" s="1"/>
  <c r="I61" i="8"/>
  <c r="J61" i="8" s="1"/>
  <c r="O40" i="8"/>
  <c r="D32" i="8"/>
  <c r="E32" i="8" s="1"/>
  <c r="E40" i="8" s="1"/>
  <c r="X19" i="8"/>
  <c r="Y19" i="8" s="1"/>
  <c r="X15" i="8"/>
  <c r="Y15" i="8" s="1"/>
  <c r="X16" i="8"/>
  <c r="Y16" i="8" s="1"/>
  <c r="D23" i="8"/>
  <c r="D27" i="8" s="1"/>
  <c r="T40" i="8"/>
  <c r="D40" i="8"/>
  <c r="D61" i="8"/>
  <c r="E61" i="8" s="1"/>
  <c r="V46" i="8"/>
  <c r="X46" i="8" s="1"/>
  <c r="Y46" i="8" s="1"/>
  <c r="AA40" i="8"/>
  <c r="C40" i="8"/>
  <c r="N23" i="8"/>
  <c r="X20" i="8"/>
  <c r="Y20" i="8" s="1"/>
  <c r="X14" i="8"/>
  <c r="Y14" i="8" s="1"/>
  <c r="B76" i="8"/>
  <c r="B78" i="8" s="1"/>
  <c r="B80" i="8" s="1"/>
  <c r="B84" i="8" s="1"/>
  <c r="V60" i="8"/>
  <c r="X60" i="8" s="1"/>
  <c r="Y60" i="8" s="1"/>
  <c r="V59" i="8"/>
  <c r="X59" i="8" s="1"/>
  <c r="Y59" i="8" s="1"/>
  <c r="T22" i="8"/>
  <c r="J17" i="8"/>
  <c r="AB53" i="8"/>
  <c r="AC53" i="8" s="1"/>
  <c r="AB49" i="8"/>
  <c r="AC49" i="8" s="1"/>
  <c r="AB21" i="8"/>
  <c r="AC21" i="8" s="1"/>
  <c r="AB15" i="8"/>
  <c r="AC15" i="8" s="1"/>
  <c r="AB13" i="8"/>
  <c r="AB50" i="8"/>
  <c r="AC50" i="8" s="1"/>
  <c r="AB57" i="8"/>
  <c r="AC57" i="8" s="1"/>
  <c r="S76" i="8"/>
  <c r="T76" i="8" s="1"/>
  <c r="AA76" i="8"/>
  <c r="H76" i="8"/>
  <c r="H78" i="8" s="1"/>
  <c r="AB58" i="8"/>
  <c r="AC58" i="8" s="1"/>
  <c r="AB54" i="8"/>
  <c r="AC54" i="8" s="1"/>
  <c r="AB45" i="8"/>
  <c r="AC45" i="8" s="1"/>
  <c r="AB22" i="8"/>
  <c r="AC22" i="8" s="1"/>
  <c r="AB19" i="8"/>
  <c r="AC19" i="8" s="1"/>
  <c r="AB18" i="8"/>
  <c r="AC18" i="8" s="1"/>
  <c r="V69" i="8"/>
  <c r="X69" i="8" s="1"/>
  <c r="Y69" i="8" s="1"/>
  <c r="N40" i="8"/>
  <c r="W66" i="8"/>
  <c r="X66" i="8" s="1"/>
  <c r="Y66" i="8" s="1"/>
  <c r="B43" i="7"/>
  <c r="C72" i="7"/>
  <c r="B72" i="7"/>
  <c r="W78" i="10" l="1"/>
  <c r="W80" i="10" s="1"/>
  <c r="W84" i="10" s="1"/>
  <c r="AB84" i="10" s="1"/>
  <c r="AC84" i="10" s="1"/>
  <c r="AB73" i="27"/>
  <c r="AC73" i="27" s="1"/>
  <c r="X73" i="27"/>
  <c r="Y73" i="27" s="1"/>
  <c r="AC43" i="10"/>
  <c r="AB76" i="10"/>
  <c r="X15" i="27"/>
  <c r="Y15" i="27" s="1"/>
  <c r="V23" i="27"/>
  <c r="V27" i="27" s="1"/>
  <c r="E15" i="27"/>
  <c r="AC13" i="27"/>
  <c r="Y13" i="27"/>
  <c r="V32" i="27"/>
  <c r="D32" i="27"/>
  <c r="AB32" i="27"/>
  <c r="J32" i="27"/>
  <c r="D46" i="27"/>
  <c r="E46" i="27" s="1"/>
  <c r="W46" i="27"/>
  <c r="D66" i="27"/>
  <c r="E66" i="27" s="1"/>
  <c r="W66" i="27"/>
  <c r="D78" i="10"/>
  <c r="E78" i="10" s="1"/>
  <c r="X80" i="12"/>
  <c r="Y80" i="12" s="1"/>
  <c r="I84" i="12"/>
  <c r="J84" i="12" s="1"/>
  <c r="E80" i="12"/>
  <c r="D84" i="12"/>
  <c r="E84" i="12" s="1"/>
  <c r="AC78" i="12"/>
  <c r="AC80" i="12"/>
  <c r="S78" i="10"/>
  <c r="T78" i="10" s="1"/>
  <c r="T40" i="10"/>
  <c r="E27" i="10"/>
  <c r="D80" i="10"/>
  <c r="O27" i="10"/>
  <c r="N80" i="10"/>
  <c r="T27" i="10"/>
  <c r="S80" i="10"/>
  <c r="I78" i="10"/>
  <c r="J78" i="10" s="1"/>
  <c r="Y23" i="10"/>
  <c r="X27" i="10"/>
  <c r="AC53" i="10"/>
  <c r="J27" i="10"/>
  <c r="V80" i="10"/>
  <c r="V84" i="10" s="1"/>
  <c r="X40" i="10"/>
  <c r="Y32" i="10"/>
  <c r="I40" i="8"/>
  <c r="G78" i="8"/>
  <c r="G80" i="8" s="1"/>
  <c r="G84" i="8" s="1"/>
  <c r="H80" i="8"/>
  <c r="H84" i="8" s="1"/>
  <c r="J23" i="8"/>
  <c r="C78" i="8"/>
  <c r="C80" i="8" s="1"/>
  <c r="C84" i="8" s="1"/>
  <c r="T23" i="8"/>
  <c r="N78" i="8"/>
  <c r="O78" i="8" s="1"/>
  <c r="AA78" i="8"/>
  <c r="AA80" i="8" s="1"/>
  <c r="AA84" i="8" s="1"/>
  <c r="E23" i="8"/>
  <c r="I76" i="8"/>
  <c r="J76" i="8" s="1"/>
  <c r="AB17" i="8"/>
  <c r="AC17" i="8" s="1"/>
  <c r="X17" i="8"/>
  <c r="Y17" i="8" s="1"/>
  <c r="X32" i="8"/>
  <c r="Y32" i="8" s="1"/>
  <c r="Y40" i="8" s="1"/>
  <c r="V76" i="8"/>
  <c r="V78" i="8" s="1"/>
  <c r="V80" i="8" s="1"/>
  <c r="V84" i="8" s="1"/>
  <c r="W76" i="8"/>
  <c r="W78" i="8" s="1"/>
  <c r="W80" i="8" s="1"/>
  <c r="W84" i="8" s="1"/>
  <c r="X61" i="8"/>
  <c r="Y61" i="8" s="1"/>
  <c r="Y76" i="8" s="1"/>
  <c r="AB32" i="8"/>
  <c r="S78" i="8"/>
  <c r="T78" i="8" s="1"/>
  <c r="E27" i="8"/>
  <c r="D76" i="8"/>
  <c r="E76" i="8" s="1"/>
  <c r="AC13" i="8"/>
  <c r="AB27" i="8"/>
  <c r="N27" i="8"/>
  <c r="O23" i="8"/>
  <c r="T27" i="8"/>
  <c r="J27" i="8"/>
  <c r="AB66" i="8"/>
  <c r="AC66" i="8" s="1"/>
  <c r="AC76" i="8" s="1"/>
  <c r="V13" i="6"/>
  <c r="D23" i="6"/>
  <c r="E23" i="6" s="1"/>
  <c r="I23" i="6"/>
  <c r="J23" i="6" s="1"/>
  <c r="S23" i="6"/>
  <c r="T23" i="6" s="1"/>
  <c r="V23" i="6"/>
  <c r="W23" i="6"/>
  <c r="AB23" i="6" s="1"/>
  <c r="AC23" i="6" s="1"/>
  <c r="D14" i="6"/>
  <c r="E14" i="6" s="1"/>
  <c r="I14" i="6"/>
  <c r="J14" i="6" s="1"/>
  <c r="S14" i="6"/>
  <c r="T14" i="6" s="1"/>
  <c r="V14" i="6"/>
  <c r="W14" i="6"/>
  <c r="D19" i="6"/>
  <c r="E19" i="6" s="1"/>
  <c r="I19" i="6"/>
  <c r="J19" i="6" s="1"/>
  <c r="S19" i="6"/>
  <c r="T19" i="6" s="1"/>
  <c r="V19" i="6"/>
  <c r="W19" i="6"/>
  <c r="AB19" i="6" s="1"/>
  <c r="AC19" i="6" s="1"/>
  <c r="D15" i="6"/>
  <c r="E15" i="6" s="1"/>
  <c r="I15" i="6"/>
  <c r="J15" i="6" s="1"/>
  <c r="S15" i="6"/>
  <c r="T15" i="6" s="1"/>
  <c r="V15" i="6"/>
  <c r="W15" i="6"/>
  <c r="D17" i="6"/>
  <c r="E17" i="6" s="1"/>
  <c r="I17" i="6"/>
  <c r="J17" i="6" s="1"/>
  <c r="S17" i="6"/>
  <c r="T17" i="6" s="1"/>
  <c r="V17" i="6"/>
  <c r="W17" i="6"/>
  <c r="AB17" i="6" s="1"/>
  <c r="AC17" i="6" s="1"/>
  <c r="D16" i="6"/>
  <c r="E16" i="6" s="1"/>
  <c r="I16" i="6"/>
  <c r="J16" i="6" s="1"/>
  <c r="S16" i="6"/>
  <c r="T16" i="6" s="1"/>
  <c r="V16" i="6"/>
  <c r="W16" i="6"/>
  <c r="D20" i="6"/>
  <c r="E20" i="6" s="1"/>
  <c r="H20" i="6"/>
  <c r="S20" i="6"/>
  <c r="T20" i="6" s="1"/>
  <c r="V20" i="6"/>
  <c r="AA20" i="6"/>
  <c r="D21" i="6"/>
  <c r="E21" i="6" s="1"/>
  <c r="I21" i="6"/>
  <c r="J21" i="6" s="1"/>
  <c r="S21" i="6"/>
  <c r="T21" i="6" s="1"/>
  <c r="V21" i="6"/>
  <c r="W21" i="6"/>
  <c r="C18" i="6"/>
  <c r="H18" i="6"/>
  <c r="S18" i="6"/>
  <c r="T18" i="6" s="1"/>
  <c r="V18" i="6"/>
  <c r="AA18" i="6"/>
  <c r="D22" i="6"/>
  <c r="E22" i="6" s="1"/>
  <c r="I22" i="6"/>
  <c r="J22" i="6" s="1"/>
  <c r="S22" i="6"/>
  <c r="T22" i="6" s="1"/>
  <c r="V22" i="6"/>
  <c r="W22" i="6"/>
  <c r="AB22" i="6" s="1"/>
  <c r="AC22" i="6" s="1"/>
  <c r="B24" i="6"/>
  <c r="G24" i="6"/>
  <c r="Q24" i="6"/>
  <c r="Q28" i="6" s="1"/>
  <c r="R24" i="6"/>
  <c r="R28" i="6" s="1"/>
  <c r="T25" i="6"/>
  <c r="D26" i="6"/>
  <c r="E26" i="6" s="1"/>
  <c r="I26" i="6"/>
  <c r="J26" i="6" s="1"/>
  <c r="S26" i="6"/>
  <c r="T26" i="6" s="1"/>
  <c r="V26" i="6"/>
  <c r="W26" i="6"/>
  <c r="T27" i="6"/>
  <c r="D33" i="6"/>
  <c r="E33" i="6" s="1"/>
  <c r="I33" i="6"/>
  <c r="J33" i="6" s="1"/>
  <c r="S33" i="6"/>
  <c r="T33" i="6" s="1"/>
  <c r="V33" i="6"/>
  <c r="W33" i="6"/>
  <c r="AB33" i="6" s="1"/>
  <c r="AC33" i="6" s="1"/>
  <c r="D34" i="6"/>
  <c r="E34" i="6" s="1"/>
  <c r="I34" i="6"/>
  <c r="J34" i="6" s="1"/>
  <c r="S34" i="6"/>
  <c r="T34" i="6" s="1"/>
  <c r="V34" i="6"/>
  <c r="W34" i="6"/>
  <c r="AB34" i="6" s="1"/>
  <c r="AC34" i="6" s="1"/>
  <c r="B37" i="6"/>
  <c r="C37" i="6"/>
  <c r="G37" i="6"/>
  <c r="G36" i="27" s="1"/>
  <c r="H37" i="6"/>
  <c r="S37" i="6"/>
  <c r="T37" i="6" s="1"/>
  <c r="D39" i="6"/>
  <c r="E39" i="6" s="1"/>
  <c r="I39" i="6"/>
  <c r="J39" i="6" s="1"/>
  <c r="S39" i="6"/>
  <c r="T39" i="6" s="1"/>
  <c r="V39" i="6"/>
  <c r="W39" i="6"/>
  <c r="AB39" i="6" s="1"/>
  <c r="AC39" i="6" s="1"/>
  <c r="D35" i="6"/>
  <c r="E35" i="6" s="1"/>
  <c r="I35" i="6"/>
  <c r="J35" i="6" s="1"/>
  <c r="S35" i="6"/>
  <c r="T35" i="6" s="1"/>
  <c r="V35" i="6"/>
  <c r="W35" i="6"/>
  <c r="AB35" i="6" s="1"/>
  <c r="AC35" i="6" s="1"/>
  <c r="D36" i="6"/>
  <c r="E36" i="6" s="1"/>
  <c r="I36" i="6"/>
  <c r="J36" i="6" s="1"/>
  <c r="S36" i="6"/>
  <c r="T36" i="6" s="1"/>
  <c r="V36" i="6"/>
  <c r="W36" i="6"/>
  <c r="AB36" i="6" s="1"/>
  <c r="AC36" i="6" s="1"/>
  <c r="D40" i="6"/>
  <c r="E40" i="6" s="1"/>
  <c r="I40" i="6"/>
  <c r="J40" i="6" s="1"/>
  <c r="S40" i="6"/>
  <c r="T40" i="6" s="1"/>
  <c r="V40" i="6"/>
  <c r="W40" i="6"/>
  <c r="AB40" i="6" s="1"/>
  <c r="AC40" i="6" s="1"/>
  <c r="Q41" i="6"/>
  <c r="R41" i="6"/>
  <c r="AA41" i="6"/>
  <c r="B44" i="6"/>
  <c r="B43" i="27" s="1"/>
  <c r="C44" i="6"/>
  <c r="C43" i="27" s="1"/>
  <c r="G44" i="6"/>
  <c r="G43" i="27" s="1"/>
  <c r="H44" i="6"/>
  <c r="H43" i="27" s="1"/>
  <c r="S44" i="6"/>
  <c r="T44" i="6" s="1"/>
  <c r="AA44" i="6"/>
  <c r="AA76" i="27" s="1"/>
  <c r="AA78" i="27" s="1"/>
  <c r="AA80" i="27" s="1"/>
  <c r="AA84" i="27" s="1"/>
  <c r="D45" i="6"/>
  <c r="E45" i="6" s="1"/>
  <c r="I45" i="6"/>
  <c r="J45" i="6" s="1"/>
  <c r="S45" i="6"/>
  <c r="T45" i="6" s="1"/>
  <c r="V45" i="6"/>
  <c r="W45" i="6"/>
  <c r="AB45" i="6" s="1"/>
  <c r="AC45" i="6" s="1"/>
  <c r="D46" i="6"/>
  <c r="E46" i="6" s="1"/>
  <c r="I46" i="6"/>
  <c r="J46" i="6" s="1"/>
  <c r="S46" i="6"/>
  <c r="T46" i="6"/>
  <c r="V46" i="6"/>
  <c r="W46" i="6"/>
  <c r="AB46" i="6" s="1"/>
  <c r="AC46" i="6" s="1"/>
  <c r="D47" i="6"/>
  <c r="E47" i="6" s="1"/>
  <c r="I47" i="6"/>
  <c r="J47" i="6" s="1"/>
  <c r="S47" i="6"/>
  <c r="T47" i="6" s="1"/>
  <c r="V47" i="6"/>
  <c r="W47" i="6"/>
  <c r="AB47" i="6" s="1"/>
  <c r="AC47" i="6" s="1"/>
  <c r="D48" i="6"/>
  <c r="E48" i="6" s="1"/>
  <c r="I48" i="6"/>
  <c r="J48" i="6" s="1"/>
  <c r="S48" i="6"/>
  <c r="T48" i="6" s="1"/>
  <c r="V48" i="6"/>
  <c r="W48" i="6"/>
  <c r="AB48" i="6" s="1"/>
  <c r="AC48" i="6" s="1"/>
  <c r="D49" i="6"/>
  <c r="E49" i="6" s="1"/>
  <c r="I49" i="6"/>
  <c r="J49" i="6" s="1"/>
  <c r="S49" i="6"/>
  <c r="T49" i="6" s="1"/>
  <c r="V49" i="6"/>
  <c r="W49" i="6"/>
  <c r="AB49" i="6" s="1"/>
  <c r="AC49" i="6" s="1"/>
  <c r="D50" i="6"/>
  <c r="E50" i="6" s="1"/>
  <c r="I50" i="6"/>
  <c r="J50" i="6" s="1"/>
  <c r="S50" i="6"/>
  <c r="T50" i="6" s="1"/>
  <c r="V50" i="6"/>
  <c r="W50" i="6"/>
  <c r="AB50" i="6" s="1"/>
  <c r="AC50" i="6" s="1"/>
  <c r="D51" i="6"/>
  <c r="E51" i="6" s="1"/>
  <c r="I51" i="6"/>
  <c r="J51" i="6" s="1"/>
  <c r="S51" i="6"/>
  <c r="T51" i="6" s="1"/>
  <c r="V51" i="6"/>
  <c r="W51" i="6"/>
  <c r="AB51" i="6" s="1"/>
  <c r="AC51" i="6" s="1"/>
  <c r="D52" i="6"/>
  <c r="E52" i="6" s="1"/>
  <c r="I52" i="6"/>
  <c r="J52" i="6" s="1"/>
  <c r="S52" i="6"/>
  <c r="T52" i="6" s="1"/>
  <c r="V52" i="6"/>
  <c r="W52" i="6"/>
  <c r="AB52" i="6" s="1"/>
  <c r="AC52" i="6" s="1"/>
  <c r="D53" i="6"/>
  <c r="E53" i="6" s="1"/>
  <c r="I53" i="6"/>
  <c r="J53" i="6" s="1"/>
  <c r="S53" i="6"/>
  <c r="T53" i="6" s="1"/>
  <c r="V53" i="6"/>
  <c r="W53" i="6"/>
  <c r="AB53" i="6" s="1"/>
  <c r="AC53" i="6" s="1"/>
  <c r="D54" i="6"/>
  <c r="E54" i="6" s="1"/>
  <c r="I54" i="6"/>
  <c r="J54" i="6" s="1"/>
  <c r="S54" i="6"/>
  <c r="T54" i="6" s="1"/>
  <c r="V54" i="6"/>
  <c r="W54" i="6"/>
  <c r="AB54" i="6" s="1"/>
  <c r="AC54" i="6" s="1"/>
  <c r="D55" i="6"/>
  <c r="E55" i="6" s="1"/>
  <c r="I55" i="6"/>
  <c r="J55" i="6" s="1"/>
  <c r="S55" i="6"/>
  <c r="T55" i="6" s="1"/>
  <c r="V55" i="6"/>
  <c r="W55" i="6"/>
  <c r="AB55" i="6" s="1"/>
  <c r="AC55" i="6" s="1"/>
  <c r="D56" i="6"/>
  <c r="E56" i="6" s="1"/>
  <c r="I56" i="6"/>
  <c r="J56" i="6" s="1"/>
  <c r="S56" i="6"/>
  <c r="T56" i="6" s="1"/>
  <c r="V56" i="6"/>
  <c r="W56" i="6"/>
  <c r="AB56" i="6" s="1"/>
  <c r="AC56" i="6" s="1"/>
  <c r="D57" i="6"/>
  <c r="E57" i="6" s="1"/>
  <c r="I57" i="6"/>
  <c r="J57" i="6" s="1"/>
  <c r="S57" i="6"/>
  <c r="T57" i="6" s="1"/>
  <c r="V57" i="6"/>
  <c r="W57" i="6"/>
  <c r="AB57" i="6" s="1"/>
  <c r="AC57" i="6" s="1"/>
  <c r="D58" i="6"/>
  <c r="E58" i="6" s="1"/>
  <c r="I58" i="6"/>
  <c r="J58" i="6" s="1"/>
  <c r="S58" i="6"/>
  <c r="T58" i="6" s="1"/>
  <c r="V58" i="6"/>
  <c r="W58" i="6"/>
  <c r="AB58" i="6" s="1"/>
  <c r="AC58" i="6" s="1"/>
  <c r="D59" i="6"/>
  <c r="E59" i="6" s="1"/>
  <c r="I59" i="6"/>
  <c r="J59" i="6" s="1"/>
  <c r="S59" i="6"/>
  <c r="T59" i="6" s="1"/>
  <c r="V59" i="6"/>
  <c r="W59" i="6"/>
  <c r="AB59" i="6" s="1"/>
  <c r="AC59" i="6" s="1"/>
  <c r="B60" i="6"/>
  <c r="B59" i="27" s="1"/>
  <c r="C60" i="6"/>
  <c r="C59" i="27" s="1"/>
  <c r="G60" i="6"/>
  <c r="G59" i="27" s="1"/>
  <c r="H60" i="6"/>
  <c r="H59" i="27" s="1"/>
  <c r="S60" i="6"/>
  <c r="T60" i="6" s="1"/>
  <c r="AA60" i="6"/>
  <c r="B61" i="6"/>
  <c r="B60" i="27" s="1"/>
  <c r="C61" i="6"/>
  <c r="C60" i="27" s="1"/>
  <c r="G61" i="6"/>
  <c r="G60" i="27" s="1"/>
  <c r="H61" i="6"/>
  <c r="H60" i="27" s="1"/>
  <c r="S61" i="6"/>
  <c r="T61" i="6" s="1"/>
  <c r="AA61" i="6"/>
  <c r="D62" i="6"/>
  <c r="E62" i="6" s="1"/>
  <c r="H62" i="6"/>
  <c r="S62" i="6"/>
  <c r="T62" i="6" s="1"/>
  <c r="V62" i="6"/>
  <c r="D63" i="6"/>
  <c r="E63" i="6" s="1"/>
  <c r="I63" i="6"/>
  <c r="J63" i="6" s="1"/>
  <c r="S63" i="6"/>
  <c r="T63" i="6" s="1"/>
  <c r="V63" i="6"/>
  <c r="W63" i="6"/>
  <c r="B65" i="6"/>
  <c r="B64" i="27" s="1"/>
  <c r="C65" i="6"/>
  <c r="C64" i="27" s="1"/>
  <c r="G65" i="6"/>
  <c r="G64" i="27" s="1"/>
  <c r="H65" i="6"/>
  <c r="H64" i="27" s="1"/>
  <c r="S65" i="6"/>
  <c r="T65" i="6" s="1"/>
  <c r="AA65" i="6"/>
  <c r="D67" i="6"/>
  <c r="E67" i="6" s="1"/>
  <c r="I67" i="6"/>
  <c r="J67" i="6" s="1"/>
  <c r="S67" i="6"/>
  <c r="T67" i="6" s="1"/>
  <c r="V67" i="6"/>
  <c r="W67" i="6"/>
  <c r="AB67" i="6" s="1"/>
  <c r="AC67" i="6" s="1"/>
  <c r="C68" i="6"/>
  <c r="I68" i="6"/>
  <c r="J68" i="6" s="1"/>
  <c r="S68" i="6"/>
  <c r="T68" i="6" s="1"/>
  <c r="V68" i="6"/>
  <c r="D69" i="6"/>
  <c r="E69" i="6" s="1"/>
  <c r="I69" i="6"/>
  <c r="J69" i="6" s="1"/>
  <c r="S69" i="6"/>
  <c r="T69" i="6" s="1"/>
  <c r="V69" i="6"/>
  <c r="W69" i="6"/>
  <c r="AB69" i="6" s="1"/>
  <c r="AC69" i="6" s="1"/>
  <c r="D71" i="6"/>
  <c r="E71" i="6" s="1"/>
  <c r="I71" i="6"/>
  <c r="J71" i="6" s="1"/>
  <c r="S71" i="6"/>
  <c r="T71" i="6" s="1"/>
  <c r="V71" i="6"/>
  <c r="W71" i="6"/>
  <c r="AA71" i="6"/>
  <c r="AB70" i="27" s="1"/>
  <c r="AC70" i="27" s="1"/>
  <c r="D72" i="6"/>
  <c r="E72" i="6" s="1"/>
  <c r="I72" i="6"/>
  <c r="J72" i="6" s="1"/>
  <c r="S72" i="6"/>
  <c r="T72" i="6" s="1"/>
  <c r="V72" i="6"/>
  <c r="W72" i="6"/>
  <c r="B73" i="6"/>
  <c r="B72" i="27" s="1"/>
  <c r="C73" i="6"/>
  <c r="C72" i="27" s="1"/>
  <c r="G73" i="6"/>
  <c r="G72" i="27" s="1"/>
  <c r="H73" i="6"/>
  <c r="H72" i="27" s="1"/>
  <c r="S73" i="6"/>
  <c r="T73" i="6" s="1"/>
  <c r="AA73" i="6"/>
  <c r="D74" i="6"/>
  <c r="E74" i="6" s="1"/>
  <c r="I74" i="6"/>
  <c r="J74" i="6" s="1"/>
  <c r="S74" i="6"/>
  <c r="V74" i="6"/>
  <c r="W74" i="6"/>
  <c r="AB74" i="6" s="1"/>
  <c r="AC74" i="6" s="1"/>
  <c r="D75" i="6"/>
  <c r="E75" i="6" s="1"/>
  <c r="I75" i="6"/>
  <c r="J75" i="6" s="1"/>
  <c r="S75" i="6"/>
  <c r="T75" i="6" s="1"/>
  <c r="V75" i="6"/>
  <c r="W75" i="6"/>
  <c r="AB75" i="6" s="1"/>
  <c r="AC75" i="6" s="1"/>
  <c r="D76" i="6"/>
  <c r="E76" i="6" s="1"/>
  <c r="I76" i="6"/>
  <c r="J76" i="6" s="1"/>
  <c r="V76" i="6"/>
  <c r="W76" i="6"/>
  <c r="AB76" i="6" s="1"/>
  <c r="AC76" i="6" s="1"/>
  <c r="Q77" i="6"/>
  <c r="R77" i="6"/>
  <c r="D83" i="6"/>
  <c r="E83" i="6" s="1"/>
  <c r="I83" i="6"/>
  <c r="J83" i="6" s="1"/>
  <c r="S83" i="6"/>
  <c r="T83" i="6" s="1"/>
  <c r="V83" i="6"/>
  <c r="W83" i="6"/>
  <c r="I72" i="27" l="1"/>
  <c r="J72" i="27" s="1"/>
  <c r="W72" i="27"/>
  <c r="AB72" i="27" s="1"/>
  <c r="AC72" i="27" s="1"/>
  <c r="V72" i="27"/>
  <c r="X72" i="27" s="1"/>
  <c r="Y72" i="27" s="1"/>
  <c r="D72" i="27"/>
  <c r="E72" i="27" s="1"/>
  <c r="D68" i="6"/>
  <c r="E68" i="6" s="1"/>
  <c r="C67" i="27"/>
  <c r="I64" i="27"/>
  <c r="J64" i="27" s="1"/>
  <c r="W64" i="27"/>
  <c r="AB64" i="27" s="1"/>
  <c r="AC64" i="27" s="1"/>
  <c r="V64" i="27"/>
  <c r="X64" i="27" s="1"/>
  <c r="Y64" i="27" s="1"/>
  <c r="D64" i="27"/>
  <c r="E64" i="27" s="1"/>
  <c r="I62" i="6"/>
  <c r="J62" i="6" s="1"/>
  <c r="H61" i="27"/>
  <c r="I60" i="27"/>
  <c r="J60" i="27" s="1"/>
  <c r="W60" i="27"/>
  <c r="AB60" i="27" s="1"/>
  <c r="AC60" i="27" s="1"/>
  <c r="V60" i="27"/>
  <c r="X60" i="27" s="1"/>
  <c r="Y60" i="27" s="1"/>
  <c r="D60" i="27"/>
  <c r="E60" i="27" s="1"/>
  <c r="I59" i="27"/>
  <c r="J59" i="27" s="1"/>
  <c r="W59" i="27"/>
  <c r="AB59" i="27" s="1"/>
  <c r="AC59" i="27" s="1"/>
  <c r="D59" i="27"/>
  <c r="E59" i="27" s="1"/>
  <c r="V59" i="27"/>
  <c r="X59" i="27" s="1"/>
  <c r="Y59" i="27" s="1"/>
  <c r="H76" i="27"/>
  <c r="G76" i="27"/>
  <c r="I43" i="27"/>
  <c r="C76" i="27"/>
  <c r="W43" i="27"/>
  <c r="B76" i="27"/>
  <c r="V43" i="27"/>
  <c r="D43" i="27"/>
  <c r="H41" i="6"/>
  <c r="H36" i="27"/>
  <c r="H40" i="27" s="1"/>
  <c r="H78" i="27" s="1"/>
  <c r="I36" i="27"/>
  <c r="G40" i="27"/>
  <c r="G78" i="27" s="1"/>
  <c r="C41" i="6"/>
  <c r="C36" i="27"/>
  <c r="B41" i="6"/>
  <c r="B36" i="27"/>
  <c r="G28" i="6"/>
  <c r="B28" i="6"/>
  <c r="I18" i="6"/>
  <c r="J18" i="6" s="1"/>
  <c r="H17" i="27"/>
  <c r="I17" i="27" s="1"/>
  <c r="D18" i="6"/>
  <c r="E18" i="6" s="1"/>
  <c r="C17" i="27"/>
  <c r="I20" i="6"/>
  <c r="H19" i="27"/>
  <c r="X66" i="27"/>
  <c r="Y66" i="27" s="1"/>
  <c r="AB66" i="27"/>
  <c r="AC66" i="27" s="1"/>
  <c r="AB46" i="27"/>
  <c r="AC46" i="27" s="1"/>
  <c r="X46" i="27"/>
  <c r="Y46" i="27" s="1"/>
  <c r="AC32" i="27"/>
  <c r="E32" i="27"/>
  <c r="X32" i="27"/>
  <c r="I80" i="10"/>
  <c r="X84" i="12"/>
  <c r="Y84" i="12" s="1"/>
  <c r="T80" i="10"/>
  <c r="S84" i="10"/>
  <c r="T84" i="10" s="1"/>
  <c r="I84" i="10"/>
  <c r="J84" i="10" s="1"/>
  <c r="J80" i="10"/>
  <c r="AC76" i="10"/>
  <c r="AB78" i="10"/>
  <c r="AB80" i="10" s="1"/>
  <c r="D84" i="10"/>
  <c r="E84" i="10" s="1"/>
  <c r="E80" i="10"/>
  <c r="Y27" i="10"/>
  <c r="N84" i="10"/>
  <c r="O84" i="10" s="1"/>
  <c r="O80" i="10"/>
  <c r="Y40" i="10"/>
  <c r="X78" i="10"/>
  <c r="Y78" i="10" s="1"/>
  <c r="X40" i="8"/>
  <c r="S80" i="8"/>
  <c r="S84" i="8" s="1"/>
  <c r="T84" i="8" s="1"/>
  <c r="X23" i="8"/>
  <c r="X27" i="8" s="1"/>
  <c r="AB84" i="8"/>
  <c r="AC84" i="8" s="1"/>
  <c r="I78" i="8"/>
  <c r="J78" i="8" s="1"/>
  <c r="AB23" i="8"/>
  <c r="AC23" i="8" s="1"/>
  <c r="AC32" i="8"/>
  <c r="AC40" i="8" s="1"/>
  <c r="AB40" i="8"/>
  <c r="X76" i="8"/>
  <c r="X78" i="8" s="1"/>
  <c r="Y78" i="8" s="1"/>
  <c r="AB76" i="8"/>
  <c r="O27" i="8"/>
  <c r="N80" i="8"/>
  <c r="D78" i="8"/>
  <c r="AC27" i="8"/>
  <c r="X63" i="6"/>
  <c r="Y63" i="6" s="1"/>
  <c r="I60" i="6"/>
  <c r="J60" i="6" s="1"/>
  <c r="R79" i="6"/>
  <c r="R81" i="6" s="1"/>
  <c r="R85" i="6" s="1"/>
  <c r="X14" i="6"/>
  <c r="Y14" i="6" s="1"/>
  <c r="X75" i="6"/>
  <c r="Y75" i="6" s="1"/>
  <c r="W73" i="6"/>
  <c r="AB73" i="6" s="1"/>
  <c r="AC73" i="6" s="1"/>
  <c r="X16" i="6"/>
  <c r="Y16" i="6" s="1"/>
  <c r="X83" i="6"/>
  <c r="Y83" i="6" s="1"/>
  <c r="X67" i="6"/>
  <c r="Y67" i="6" s="1"/>
  <c r="W62" i="6"/>
  <c r="AB62" i="6" s="1"/>
  <c r="AC62" i="6" s="1"/>
  <c r="X35" i="6"/>
  <c r="Y35" i="6" s="1"/>
  <c r="I73" i="6"/>
  <c r="J73" i="6" s="1"/>
  <c r="W60" i="6"/>
  <c r="AB60" i="6" s="1"/>
  <c r="AC60" i="6" s="1"/>
  <c r="X72" i="6"/>
  <c r="Y72" i="6" s="1"/>
  <c r="W68" i="6"/>
  <c r="AB68" i="6" s="1"/>
  <c r="AC68" i="6" s="1"/>
  <c r="D65" i="6"/>
  <c r="E65" i="6" s="1"/>
  <c r="W18" i="6"/>
  <c r="X18" i="6" s="1"/>
  <c r="Y18" i="6" s="1"/>
  <c r="X56" i="6"/>
  <c r="Y56" i="6" s="1"/>
  <c r="X52" i="6"/>
  <c r="Y52" i="6" s="1"/>
  <c r="X48" i="6"/>
  <c r="Y48" i="6" s="1"/>
  <c r="C24" i="6"/>
  <c r="X21" i="6"/>
  <c r="Y21" i="6" s="1"/>
  <c r="X39" i="6"/>
  <c r="Y39" i="6" s="1"/>
  <c r="W37" i="6"/>
  <c r="AB37" i="6" s="1"/>
  <c r="AC37" i="6" s="1"/>
  <c r="I61" i="6"/>
  <c r="J61" i="6" s="1"/>
  <c r="X58" i="6"/>
  <c r="Y58" i="6" s="1"/>
  <c r="X54" i="6"/>
  <c r="Y54" i="6" s="1"/>
  <c r="X50" i="6"/>
  <c r="Y50" i="6" s="1"/>
  <c r="X46" i="6"/>
  <c r="Y46" i="6" s="1"/>
  <c r="D44" i="6"/>
  <c r="E44" i="6" s="1"/>
  <c r="W20" i="6"/>
  <c r="X20" i="6" s="1"/>
  <c r="Y20" i="6" s="1"/>
  <c r="X69" i="6"/>
  <c r="Y69" i="6" s="1"/>
  <c r="D61" i="6"/>
  <c r="E61" i="6" s="1"/>
  <c r="I37" i="6"/>
  <c r="J37" i="6" s="1"/>
  <c r="AA77" i="6"/>
  <c r="AA79" i="6" s="1"/>
  <c r="AB72" i="6"/>
  <c r="AC72" i="6" s="1"/>
  <c r="W65" i="6"/>
  <c r="AB65" i="6" s="1"/>
  <c r="AC65" i="6" s="1"/>
  <c r="X33" i="6"/>
  <c r="Y33" i="6" s="1"/>
  <c r="I44" i="6"/>
  <c r="J44" i="6" s="1"/>
  <c r="X34" i="6"/>
  <c r="Y34" i="6" s="1"/>
  <c r="D73" i="6"/>
  <c r="E73" i="6" s="1"/>
  <c r="AB71" i="6"/>
  <c r="AC71" i="6" s="1"/>
  <c r="I65" i="6"/>
  <c r="J65" i="6" s="1"/>
  <c r="X17" i="6"/>
  <c r="Y17" i="6" s="1"/>
  <c r="X23" i="6"/>
  <c r="Y23" i="6" s="1"/>
  <c r="X76" i="6"/>
  <c r="Y76" i="6" s="1"/>
  <c r="X71" i="6"/>
  <c r="Y71" i="6" s="1"/>
  <c r="D60" i="6"/>
  <c r="E60" i="6" s="1"/>
  <c r="X40" i="6"/>
  <c r="Y40" i="6" s="1"/>
  <c r="X36" i="6"/>
  <c r="Y36" i="6" s="1"/>
  <c r="AB21" i="6"/>
  <c r="AC21" i="6" s="1"/>
  <c r="W61" i="6"/>
  <c r="AB61" i="6" s="1"/>
  <c r="AC61" i="6" s="1"/>
  <c r="D37" i="6"/>
  <c r="E37" i="6" s="1"/>
  <c r="AB63" i="6"/>
  <c r="AC63" i="6" s="1"/>
  <c r="Q79" i="6"/>
  <c r="Q81" i="6" s="1"/>
  <c r="Q85" i="6" s="1"/>
  <c r="X22" i="6"/>
  <c r="Y22" i="6" s="1"/>
  <c r="X19" i="6"/>
  <c r="Y19" i="6" s="1"/>
  <c r="V24" i="6"/>
  <c r="V28" i="6" s="1"/>
  <c r="B77" i="6"/>
  <c r="B79" i="6" s="1"/>
  <c r="B81" i="6" s="1"/>
  <c r="B85" i="6" s="1"/>
  <c r="X74" i="6"/>
  <c r="Y74" i="6" s="1"/>
  <c r="X59" i="6"/>
  <c r="Y59" i="6" s="1"/>
  <c r="X57" i="6"/>
  <c r="Y57" i="6" s="1"/>
  <c r="X55" i="6"/>
  <c r="Y55" i="6" s="1"/>
  <c r="X53" i="6"/>
  <c r="Y53" i="6" s="1"/>
  <c r="X51" i="6"/>
  <c r="Y51" i="6" s="1"/>
  <c r="X49" i="6"/>
  <c r="Y49" i="6" s="1"/>
  <c r="X47" i="6"/>
  <c r="Y47" i="6" s="1"/>
  <c r="X45" i="6"/>
  <c r="Y45" i="6" s="1"/>
  <c r="H77" i="6"/>
  <c r="H79" i="6" s="1"/>
  <c r="X15" i="6"/>
  <c r="Y15" i="6" s="1"/>
  <c r="I24" i="6"/>
  <c r="J20" i="6"/>
  <c r="S24" i="6"/>
  <c r="W44" i="6"/>
  <c r="V37" i="6"/>
  <c r="AB16" i="6"/>
  <c r="AC16" i="6" s="1"/>
  <c r="AB15" i="6"/>
  <c r="AC15" i="6" s="1"/>
  <c r="AB14" i="6"/>
  <c r="D24" i="6"/>
  <c r="V65" i="6"/>
  <c r="V44" i="6"/>
  <c r="AA24" i="6"/>
  <c r="AA28" i="6" s="1"/>
  <c r="G77" i="6"/>
  <c r="V73" i="6"/>
  <c r="G41" i="6"/>
  <c r="AA83" i="6"/>
  <c r="AB83" i="6" s="1"/>
  <c r="AC83" i="6" s="1"/>
  <c r="V61" i="6"/>
  <c r="S77" i="6"/>
  <c r="T77" i="6" s="1"/>
  <c r="V60" i="6"/>
  <c r="S41" i="6"/>
  <c r="H24" i="6"/>
  <c r="C77" i="6"/>
  <c r="C79" i="6" s="1"/>
  <c r="H28" i="6" l="1"/>
  <c r="C28" i="6"/>
  <c r="Y32" i="27"/>
  <c r="W19" i="27"/>
  <c r="I19" i="27"/>
  <c r="J19" i="27" s="1"/>
  <c r="D17" i="27"/>
  <c r="W17" i="27"/>
  <c r="J17" i="27"/>
  <c r="I23" i="27"/>
  <c r="D36" i="27"/>
  <c r="V36" i="27"/>
  <c r="B40" i="27"/>
  <c r="B78" i="27" s="1"/>
  <c r="W36" i="27"/>
  <c r="C40" i="27"/>
  <c r="C78" i="27" s="1"/>
  <c r="J36" i="27"/>
  <c r="I40" i="27"/>
  <c r="E43" i="27"/>
  <c r="X43" i="27"/>
  <c r="V76" i="27"/>
  <c r="AB43" i="27"/>
  <c r="J43" i="27"/>
  <c r="I61" i="27"/>
  <c r="W61" i="27"/>
  <c r="D67" i="27"/>
  <c r="W67" i="27"/>
  <c r="AC78" i="10"/>
  <c r="AC80" i="10"/>
  <c r="X80" i="10"/>
  <c r="T80" i="8"/>
  <c r="Y23" i="8"/>
  <c r="AB78" i="8"/>
  <c r="I80" i="8"/>
  <c r="E78" i="8"/>
  <c r="D80" i="8"/>
  <c r="Y27" i="8"/>
  <c r="X80" i="8"/>
  <c r="N84" i="8"/>
  <c r="O84" i="8" s="1"/>
  <c r="O80" i="8"/>
  <c r="W24" i="6"/>
  <c r="W28" i="6" s="1"/>
  <c r="AB28" i="6" s="1"/>
  <c r="AB20" i="6"/>
  <c r="AC20" i="6" s="1"/>
  <c r="C81" i="6"/>
  <c r="C85" i="6" s="1"/>
  <c r="X61" i="6"/>
  <c r="Y61" i="6" s="1"/>
  <c r="X37" i="6"/>
  <c r="Y37" i="6" s="1"/>
  <c r="W41" i="6"/>
  <c r="AB41" i="6"/>
  <c r="AC41" i="6" s="1"/>
  <c r="X62" i="6"/>
  <c r="Y62" i="6" s="1"/>
  <c r="X65" i="6"/>
  <c r="Y65" i="6" s="1"/>
  <c r="X73" i="6"/>
  <c r="Y73" i="6" s="1"/>
  <c r="I41" i="6"/>
  <c r="J41" i="6" s="1"/>
  <c r="X68" i="6"/>
  <c r="Y68" i="6" s="1"/>
  <c r="X60" i="6"/>
  <c r="Y60" i="6" s="1"/>
  <c r="AB18" i="6"/>
  <c r="AC18" i="6" s="1"/>
  <c r="I77" i="6"/>
  <c r="J77" i="6" s="1"/>
  <c r="X24" i="6"/>
  <c r="Y24" i="6" s="1"/>
  <c r="W77" i="6"/>
  <c r="D77" i="6"/>
  <c r="E77" i="6" s="1"/>
  <c r="D41" i="6"/>
  <c r="V41" i="6"/>
  <c r="AA81" i="6"/>
  <c r="AA85" i="6" s="1"/>
  <c r="I28" i="6"/>
  <c r="J24" i="6"/>
  <c r="V77" i="6"/>
  <c r="X44" i="6"/>
  <c r="G79" i="6"/>
  <c r="G81" i="6" s="1"/>
  <c r="G85" i="6" s="1"/>
  <c r="E24" i="6"/>
  <c r="D28" i="6"/>
  <c r="H81" i="6"/>
  <c r="H85" i="6" s="1"/>
  <c r="T24" i="6"/>
  <c r="S28" i="6"/>
  <c r="T41" i="6"/>
  <c r="S79" i="6"/>
  <c r="T79" i="6" s="1"/>
  <c r="AC14" i="6"/>
  <c r="AB44" i="6"/>
  <c r="D21" i="3"/>
  <c r="E21" i="3" s="1"/>
  <c r="I21" i="3"/>
  <c r="J21" i="3" s="1"/>
  <c r="N21" i="3"/>
  <c r="O21" i="3" s="1"/>
  <c r="S21" i="3"/>
  <c r="T21" i="3" s="1"/>
  <c r="V21" i="3"/>
  <c r="W21" i="3"/>
  <c r="AB21" i="3" s="1"/>
  <c r="AC21" i="3" s="1"/>
  <c r="B20" i="4"/>
  <c r="C20" i="4"/>
  <c r="D20" i="4"/>
  <c r="E20" i="4"/>
  <c r="F20" i="4"/>
  <c r="B30" i="4"/>
  <c r="C30" i="4"/>
  <c r="D30" i="4"/>
  <c r="E30" i="4"/>
  <c r="F30" i="4"/>
  <c r="B39" i="4"/>
  <c r="C39" i="4"/>
  <c r="D39" i="4"/>
  <c r="E39" i="4"/>
  <c r="F39" i="4"/>
  <c r="B57" i="4"/>
  <c r="C57" i="4"/>
  <c r="D57" i="4"/>
  <c r="E57" i="4"/>
  <c r="F57" i="4"/>
  <c r="B63" i="4"/>
  <c r="C63" i="4"/>
  <c r="D63" i="4"/>
  <c r="E63" i="4"/>
  <c r="F63" i="4"/>
  <c r="B70" i="4"/>
  <c r="B72" i="4" s="1"/>
  <c r="C70" i="4"/>
  <c r="D70" i="4"/>
  <c r="E70" i="4"/>
  <c r="F70" i="4"/>
  <c r="D13" i="3"/>
  <c r="E13" i="3" s="1"/>
  <c r="I13" i="3"/>
  <c r="J13" i="3" s="1"/>
  <c r="N13" i="3"/>
  <c r="O13" i="3" s="1"/>
  <c r="S13" i="3"/>
  <c r="T13" i="3" s="1"/>
  <c r="V13" i="3"/>
  <c r="W13" i="3"/>
  <c r="D18" i="3"/>
  <c r="E18" i="3" s="1"/>
  <c r="I18" i="3"/>
  <c r="J18" i="3" s="1"/>
  <c r="N18" i="3"/>
  <c r="O18" i="3" s="1"/>
  <c r="S18" i="3"/>
  <c r="T18" i="3" s="1"/>
  <c r="V18" i="3"/>
  <c r="W18" i="3"/>
  <c r="D14" i="3"/>
  <c r="E14" i="3" s="1"/>
  <c r="I14" i="3"/>
  <c r="J14" i="3" s="1"/>
  <c r="N14" i="3"/>
  <c r="O14" i="3" s="1"/>
  <c r="S14" i="3"/>
  <c r="T14" i="3" s="1"/>
  <c r="V14" i="3"/>
  <c r="W14" i="3"/>
  <c r="AA14" i="3"/>
  <c r="D16" i="3"/>
  <c r="E16" i="3" s="1"/>
  <c r="I16" i="3"/>
  <c r="J16" i="3" s="1"/>
  <c r="N16" i="3"/>
  <c r="O16" i="3" s="1"/>
  <c r="S16" i="3"/>
  <c r="T16" i="3" s="1"/>
  <c r="V16" i="3"/>
  <c r="W16" i="3"/>
  <c r="AB16" i="3" s="1"/>
  <c r="AC16" i="3" s="1"/>
  <c r="D15" i="3"/>
  <c r="E15" i="3" s="1"/>
  <c r="I15" i="3"/>
  <c r="J15" i="3" s="1"/>
  <c r="N15" i="3"/>
  <c r="O15" i="3" s="1"/>
  <c r="S15" i="3"/>
  <c r="T15" i="3" s="1"/>
  <c r="V15" i="3"/>
  <c r="W15" i="3"/>
  <c r="AB15" i="3" s="1"/>
  <c r="AC15" i="3" s="1"/>
  <c r="D19" i="3"/>
  <c r="E19" i="3" s="1"/>
  <c r="I19" i="3"/>
  <c r="J19" i="3" s="1"/>
  <c r="N19" i="3"/>
  <c r="O19" i="3" s="1"/>
  <c r="S19" i="3"/>
  <c r="T19" i="3" s="1"/>
  <c r="V19" i="3"/>
  <c r="W19" i="3"/>
  <c r="AB19" i="3" s="1"/>
  <c r="AC19" i="3" s="1"/>
  <c r="D20" i="3"/>
  <c r="E20" i="3" s="1"/>
  <c r="I20" i="3"/>
  <c r="J20" i="3" s="1"/>
  <c r="N20" i="3"/>
  <c r="O20" i="3" s="1"/>
  <c r="S20" i="3"/>
  <c r="T20" i="3" s="1"/>
  <c r="V20" i="3"/>
  <c r="W20" i="3"/>
  <c r="D17" i="3"/>
  <c r="E17" i="3" s="1"/>
  <c r="I17" i="3"/>
  <c r="J17" i="3" s="1"/>
  <c r="N17" i="3"/>
  <c r="O17" i="3" s="1"/>
  <c r="S17" i="3"/>
  <c r="T17" i="3" s="1"/>
  <c r="V17" i="3"/>
  <c r="W17" i="3"/>
  <c r="AB17" i="3" s="1"/>
  <c r="AC17" i="3" s="1"/>
  <c r="D22" i="3"/>
  <c r="E22" i="3" s="1"/>
  <c r="I22" i="3"/>
  <c r="J22" i="3" s="1"/>
  <c r="N22" i="3"/>
  <c r="O22" i="3" s="1"/>
  <c r="S22" i="3"/>
  <c r="T22" i="3" s="1"/>
  <c r="V22" i="3"/>
  <c r="W22" i="3"/>
  <c r="AB22" i="3" s="1"/>
  <c r="AC22" i="3" s="1"/>
  <c r="B23" i="3"/>
  <c r="C23" i="3"/>
  <c r="G23" i="3"/>
  <c r="H23" i="3"/>
  <c r="L23" i="3"/>
  <c r="L27" i="3" s="1"/>
  <c r="M23" i="3"/>
  <c r="M27" i="3" s="1"/>
  <c r="Q23" i="3"/>
  <c r="Q27" i="3" s="1"/>
  <c r="R23" i="3"/>
  <c r="R27" i="3" s="1"/>
  <c r="T24" i="3"/>
  <c r="D25" i="3"/>
  <c r="E25" i="3" s="1"/>
  <c r="I25" i="3"/>
  <c r="J25" i="3" s="1"/>
  <c r="N25" i="3"/>
  <c r="O25" i="3" s="1"/>
  <c r="S25" i="3"/>
  <c r="T25" i="3" s="1"/>
  <c r="V25" i="3"/>
  <c r="W25" i="3"/>
  <c r="T26" i="3"/>
  <c r="D32" i="3"/>
  <c r="E32" i="3" s="1"/>
  <c r="I32" i="3"/>
  <c r="J32" i="3" s="1"/>
  <c r="N32" i="3"/>
  <c r="O32" i="3" s="1"/>
  <c r="S32" i="3"/>
  <c r="T32" i="3" s="1"/>
  <c r="V32" i="3"/>
  <c r="W32" i="3"/>
  <c r="AB32" i="3" s="1"/>
  <c r="D33" i="3"/>
  <c r="E33" i="3" s="1"/>
  <c r="I33" i="3"/>
  <c r="J33" i="3" s="1"/>
  <c r="N33" i="3"/>
  <c r="O33" i="3" s="1"/>
  <c r="S33" i="3"/>
  <c r="T33" i="3" s="1"/>
  <c r="V33" i="3"/>
  <c r="W33" i="3"/>
  <c r="AB33" i="3" s="1"/>
  <c r="AC33" i="3" s="1"/>
  <c r="D36" i="3"/>
  <c r="E36" i="3" s="1"/>
  <c r="I36" i="3"/>
  <c r="J36" i="3" s="1"/>
  <c r="N36" i="3"/>
  <c r="O36" i="3" s="1"/>
  <c r="S36" i="3"/>
  <c r="T36" i="3" s="1"/>
  <c r="V36" i="3"/>
  <c r="W36" i="3"/>
  <c r="AB36" i="3" s="1"/>
  <c r="AC36" i="3" s="1"/>
  <c r="D38" i="3"/>
  <c r="E38" i="3" s="1"/>
  <c r="I38" i="3"/>
  <c r="J38" i="3" s="1"/>
  <c r="N38" i="3"/>
  <c r="O38" i="3" s="1"/>
  <c r="S38" i="3"/>
  <c r="T38" i="3" s="1"/>
  <c r="V38" i="3"/>
  <c r="W38" i="3"/>
  <c r="AB38" i="3" s="1"/>
  <c r="AC38" i="3" s="1"/>
  <c r="D34" i="3"/>
  <c r="E34" i="3" s="1"/>
  <c r="I34" i="3"/>
  <c r="J34" i="3" s="1"/>
  <c r="N34" i="3"/>
  <c r="O34" i="3" s="1"/>
  <c r="S34" i="3"/>
  <c r="T34" i="3" s="1"/>
  <c r="V34" i="3"/>
  <c r="W34" i="3"/>
  <c r="AB34" i="3" s="1"/>
  <c r="AC34" i="3" s="1"/>
  <c r="D35" i="3"/>
  <c r="E35" i="3" s="1"/>
  <c r="I35" i="3"/>
  <c r="J35" i="3" s="1"/>
  <c r="N35" i="3"/>
  <c r="O35" i="3" s="1"/>
  <c r="S35" i="3"/>
  <c r="T35" i="3" s="1"/>
  <c r="V35" i="3"/>
  <c r="W35" i="3"/>
  <c r="AB35" i="3" s="1"/>
  <c r="AC35" i="3" s="1"/>
  <c r="D37" i="3"/>
  <c r="E37" i="3" s="1"/>
  <c r="I37" i="3"/>
  <c r="J37" i="3" s="1"/>
  <c r="N37" i="3"/>
  <c r="O37" i="3" s="1"/>
  <c r="S37" i="3"/>
  <c r="T37" i="3" s="1"/>
  <c r="V37" i="3"/>
  <c r="W37" i="3"/>
  <c r="AB37" i="3" s="1"/>
  <c r="AC37" i="3" s="1"/>
  <c r="B40" i="3"/>
  <c r="C40" i="3"/>
  <c r="G40" i="3"/>
  <c r="H40" i="3"/>
  <c r="L40" i="3"/>
  <c r="M40" i="3"/>
  <c r="Q40" i="3"/>
  <c r="R40" i="3"/>
  <c r="AA40" i="3"/>
  <c r="D43" i="3"/>
  <c r="E43" i="3" s="1"/>
  <c r="I43" i="3"/>
  <c r="J43" i="3" s="1"/>
  <c r="N43" i="3"/>
  <c r="O43" i="3" s="1"/>
  <c r="S43" i="3"/>
  <c r="T43" i="3" s="1"/>
  <c r="V43" i="3"/>
  <c r="W43" i="3"/>
  <c r="AB43" i="3" s="1"/>
  <c r="D44" i="3"/>
  <c r="E44" i="3" s="1"/>
  <c r="I44" i="3"/>
  <c r="J44" i="3" s="1"/>
  <c r="N44" i="3"/>
  <c r="O44" i="3" s="1"/>
  <c r="S44" i="3"/>
  <c r="T44" i="3" s="1"/>
  <c r="V44" i="3"/>
  <c r="W44" i="3"/>
  <c r="AB44" i="3" s="1"/>
  <c r="AC44" i="3" s="1"/>
  <c r="D45" i="3"/>
  <c r="E45" i="3" s="1"/>
  <c r="I45" i="3"/>
  <c r="J45" i="3" s="1"/>
  <c r="N45" i="3"/>
  <c r="O45" i="3" s="1"/>
  <c r="S45" i="3"/>
  <c r="T45" i="3" s="1"/>
  <c r="V45" i="3"/>
  <c r="W45" i="3"/>
  <c r="D46" i="3"/>
  <c r="E46" i="3" s="1"/>
  <c r="I46" i="3"/>
  <c r="J46" i="3" s="1"/>
  <c r="N46" i="3"/>
  <c r="O46" i="3" s="1"/>
  <c r="S46" i="3"/>
  <c r="T46" i="3" s="1"/>
  <c r="V46" i="3"/>
  <c r="W46" i="3"/>
  <c r="AB46" i="3" s="1"/>
  <c r="AC46" i="3" s="1"/>
  <c r="D47" i="3"/>
  <c r="E47" i="3" s="1"/>
  <c r="I47" i="3"/>
  <c r="J47" i="3" s="1"/>
  <c r="N47" i="3"/>
  <c r="O47" i="3" s="1"/>
  <c r="S47" i="3"/>
  <c r="T47" i="3" s="1"/>
  <c r="V47" i="3"/>
  <c r="W47" i="3"/>
  <c r="AB47" i="3" s="1"/>
  <c r="AC47" i="3" s="1"/>
  <c r="D48" i="3"/>
  <c r="E48" i="3" s="1"/>
  <c r="I48" i="3"/>
  <c r="J48" i="3" s="1"/>
  <c r="N48" i="3"/>
  <c r="O48" i="3" s="1"/>
  <c r="S48" i="3"/>
  <c r="T48" i="3" s="1"/>
  <c r="V48" i="3"/>
  <c r="W48" i="3"/>
  <c r="AB48" i="3" s="1"/>
  <c r="AC48" i="3" s="1"/>
  <c r="D49" i="3"/>
  <c r="E49" i="3" s="1"/>
  <c r="I49" i="3"/>
  <c r="J49" i="3" s="1"/>
  <c r="N49" i="3"/>
  <c r="O49" i="3" s="1"/>
  <c r="S49" i="3"/>
  <c r="T49" i="3" s="1"/>
  <c r="V49" i="3"/>
  <c r="W49" i="3"/>
  <c r="D50" i="3"/>
  <c r="E50" i="3" s="1"/>
  <c r="I50" i="3"/>
  <c r="J50" i="3" s="1"/>
  <c r="N50" i="3"/>
  <c r="O50" i="3" s="1"/>
  <c r="S50" i="3"/>
  <c r="T50" i="3" s="1"/>
  <c r="V50" i="3"/>
  <c r="W50" i="3"/>
  <c r="AB50" i="3" s="1"/>
  <c r="AC50" i="3" s="1"/>
  <c r="D51" i="3"/>
  <c r="E51" i="3" s="1"/>
  <c r="I51" i="3"/>
  <c r="J51" i="3" s="1"/>
  <c r="N51" i="3"/>
  <c r="O51" i="3" s="1"/>
  <c r="S51" i="3"/>
  <c r="T51" i="3" s="1"/>
  <c r="V51" i="3"/>
  <c r="W51" i="3"/>
  <c r="AB51" i="3" s="1"/>
  <c r="AC51" i="3" s="1"/>
  <c r="D52" i="3"/>
  <c r="E52" i="3" s="1"/>
  <c r="I52" i="3"/>
  <c r="J52" i="3" s="1"/>
  <c r="N52" i="3"/>
  <c r="O52" i="3" s="1"/>
  <c r="S52" i="3"/>
  <c r="T52" i="3" s="1"/>
  <c r="V52" i="3"/>
  <c r="W52" i="3"/>
  <c r="D53" i="3"/>
  <c r="E53" i="3" s="1"/>
  <c r="I53" i="3"/>
  <c r="J53" i="3" s="1"/>
  <c r="N53" i="3"/>
  <c r="O53" i="3" s="1"/>
  <c r="S53" i="3"/>
  <c r="T53" i="3" s="1"/>
  <c r="V53" i="3"/>
  <c r="W53" i="3"/>
  <c r="AB53" i="3" s="1"/>
  <c r="AC53" i="3" s="1"/>
  <c r="D54" i="3"/>
  <c r="E54" i="3" s="1"/>
  <c r="I54" i="3"/>
  <c r="J54" i="3" s="1"/>
  <c r="N54" i="3"/>
  <c r="O54" i="3" s="1"/>
  <c r="S54" i="3"/>
  <c r="T54" i="3" s="1"/>
  <c r="V54" i="3"/>
  <c r="W54" i="3"/>
  <c r="AB54" i="3" s="1"/>
  <c r="AC54" i="3" s="1"/>
  <c r="D55" i="3"/>
  <c r="E55" i="3" s="1"/>
  <c r="I55" i="3"/>
  <c r="J55" i="3" s="1"/>
  <c r="N55" i="3"/>
  <c r="O55" i="3" s="1"/>
  <c r="S55" i="3"/>
  <c r="T55" i="3" s="1"/>
  <c r="V55" i="3"/>
  <c r="W55" i="3"/>
  <c r="AB55" i="3" s="1"/>
  <c r="AC55" i="3" s="1"/>
  <c r="D56" i="3"/>
  <c r="E56" i="3" s="1"/>
  <c r="I56" i="3"/>
  <c r="J56" i="3" s="1"/>
  <c r="N56" i="3"/>
  <c r="O56" i="3" s="1"/>
  <c r="S56" i="3"/>
  <c r="T56" i="3" s="1"/>
  <c r="V56" i="3"/>
  <c r="W56" i="3"/>
  <c r="AB56" i="3" s="1"/>
  <c r="AC56" i="3" s="1"/>
  <c r="D57" i="3"/>
  <c r="E57" i="3" s="1"/>
  <c r="I57" i="3"/>
  <c r="J57" i="3" s="1"/>
  <c r="N57" i="3"/>
  <c r="O57" i="3" s="1"/>
  <c r="S57" i="3"/>
  <c r="T57" i="3" s="1"/>
  <c r="V57" i="3"/>
  <c r="W57" i="3"/>
  <c r="AB57" i="3" s="1"/>
  <c r="AC57" i="3" s="1"/>
  <c r="D58" i="3"/>
  <c r="E58" i="3" s="1"/>
  <c r="I58" i="3"/>
  <c r="J58" i="3" s="1"/>
  <c r="N58" i="3"/>
  <c r="O58" i="3" s="1"/>
  <c r="S58" i="3"/>
  <c r="T58" i="3" s="1"/>
  <c r="V58" i="3"/>
  <c r="W58" i="3"/>
  <c r="AB58" i="3" s="1"/>
  <c r="AC58" i="3" s="1"/>
  <c r="D59" i="3"/>
  <c r="E59" i="3" s="1"/>
  <c r="I59" i="3"/>
  <c r="J59" i="3" s="1"/>
  <c r="N59" i="3"/>
  <c r="O59" i="3" s="1"/>
  <c r="S59" i="3"/>
  <c r="T59" i="3" s="1"/>
  <c r="V59" i="3"/>
  <c r="W59" i="3"/>
  <c r="AB59" i="3" s="1"/>
  <c r="AC59" i="3" s="1"/>
  <c r="D60" i="3"/>
  <c r="E60" i="3" s="1"/>
  <c r="I60" i="3"/>
  <c r="J60" i="3" s="1"/>
  <c r="N60" i="3"/>
  <c r="O60" i="3" s="1"/>
  <c r="S60" i="3"/>
  <c r="T60" i="3" s="1"/>
  <c r="V60" i="3"/>
  <c r="W60" i="3"/>
  <c r="AB60" i="3" s="1"/>
  <c r="AC60" i="3" s="1"/>
  <c r="D61" i="3"/>
  <c r="E61" i="3" s="1"/>
  <c r="I61" i="3"/>
  <c r="J61" i="3" s="1"/>
  <c r="N61" i="3"/>
  <c r="O61" i="3" s="1"/>
  <c r="S61" i="3"/>
  <c r="T61" i="3" s="1"/>
  <c r="V61" i="3"/>
  <c r="W61" i="3"/>
  <c r="AB61" i="3" s="1"/>
  <c r="AC61" i="3" s="1"/>
  <c r="D62" i="3"/>
  <c r="E62" i="3" s="1"/>
  <c r="I62" i="3"/>
  <c r="J62" i="3" s="1"/>
  <c r="N62" i="3"/>
  <c r="O62" i="3" s="1"/>
  <c r="S62" i="3"/>
  <c r="T62" i="3" s="1"/>
  <c r="V62" i="3"/>
  <c r="W62" i="3"/>
  <c r="AB62" i="3" s="1"/>
  <c r="AC62" i="3" s="1"/>
  <c r="D64" i="3"/>
  <c r="E64" i="3" s="1"/>
  <c r="I64" i="3"/>
  <c r="J64" i="3" s="1"/>
  <c r="N64" i="3"/>
  <c r="O64" i="3" s="1"/>
  <c r="S64" i="3"/>
  <c r="T64" i="3" s="1"/>
  <c r="V64" i="3"/>
  <c r="W64" i="3"/>
  <c r="AB64" i="3" s="1"/>
  <c r="AC64" i="3" s="1"/>
  <c r="D66" i="3"/>
  <c r="E66" i="3" s="1"/>
  <c r="I66" i="3"/>
  <c r="J66" i="3" s="1"/>
  <c r="N66" i="3"/>
  <c r="O66" i="3" s="1"/>
  <c r="S66" i="3"/>
  <c r="T66" i="3" s="1"/>
  <c r="V66" i="3"/>
  <c r="W66" i="3"/>
  <c r="AB66" i="3" s="1"/>
  <c r="AC66" i="3" s="1"/>
  <c r="D68" i="3"/>
  <c r="E68" i="3" s="1"/>
  <c r="I68" i="3"/>
  <c r="J68" i="3" s="1"/>
  <c r="N68" i="3"/>
  <c r="O68" i="3" s="1"/>
  <c r="S68" i="3"/>
  <c r="T68" i="3" s="1"/>
  <c r="V68" i="3"/>
  <c r="W68" i="3"/>
  <c r="AB68" i="3" s="1"/>
  <c r="AC68" i="3" s="1"/>
  <c r="D69" i="3"/>
  <c r="E69" i="3" s="1"/>
  <c r="I69" i="3"/>
  <c r="J69" i="3" s="1"/>
  <c r="N69" i="3"/>
  <c r="O69" i="3" s="1"/>
  <c r="S69" i="3"/>
  <c r="T69" i="3" s="1"/>
  <c r="V69" i="3"/>
  <c r="W69" i="3"/>
  <c r="AB69" i="3" s="1"/>
  <c r="AC69" i="3" s="1"/>
  <c r="D71" i="3"/>
  <c r="E71" i="3" s="1"/>
  <c r="I71" i="3"/>
  <c r="J71" i="3" s="1"/>
  <c r="N71" i="3"/>
  <c r="O71" i="3" s="1"/>
  <c r="S71" i="3"/>
  <c r="T71" i="3" s="1"/>
  <c r="V71" i="3"/>
  <c r="W71" i="3"/>
  <c r="AB71" i="3" s="1"/>
  <c r="AC71" i="3" s="1"/>
  <c r="D72" i="3"/>
  <c r="E72" i="3" s="1"/>
  <c r="I72" i="3"/>
  <c r="J72" i="3" s="1"/>
  <c r="N72" i="3"/>
  <c r="O72" i="3" s="1"/>
  <c r="S72" i="3"/>
  <c r="T72" i="3" s="1"/>
  <c r="V72" i="3"/>
  <c r="W72" i="3"/>
  <c r="AB72" i="3" s="1"/>
  <c r="AC72" i="3" s="1"/>
  <c r="D73" i="3"/>
  <c r="E73" i="3" s="1"/>
  <c r="I73" i="3"/>
  <c r="J73" i="3" s="1"/>
  <c r="N73" i="3"/>
  <c r="O73" i="3" s="1"/>
  <c r="S73" i="3"/>
  <c r="T73" i="3" s="1"/>
  <c r="V73" i="3"/>
  <c r="W73" i="3"/>
  <c r="AB73" i="3" s="1"/>
  <c r="AC73" i="3" s="1"/>
  <c r="D74" i="3"/>
  <c r="E74" i="3" s="1"/>
  <c r="I74" i="3"/>
  <c r="J74" i="3" s="1"/>
  <c r="N74" i="3"/>
  <c r="O74" i="3" s="1"/>
  <c r="S74" i="3"/>
  <c r="T74" i="3" s="1"/>
  <c r="V74" i="3"/>
  <c r="W74" i="3"/>
  <c r="AB74" i="3" s="1"/>
  <c r="AC74" i="3" s="1"/>
  <c r="D75" i="3"/>
  <c r="E75" i="3" s="1"/>
  <c r="I75" i="3"/>
  <c r="J75" i="3" s="1"/>
  <c r="N75" i="3"/>
  <c r="O75" i="3" s="1"/>
  <c r="S75" i="3"/>
  <c r="T75" i="3" s="1"/>
  <c r="V75" i="3"/>
  <c r="W75" i="3"/>
  <c r="AB75" i="3" s="1"/>
  <c r="AC75" i="3" s="1"/>
  <c r="B76" i="3"/>
  <c r="C76" i="3"/>
  <c r="G76" i="3"/>
  <c r="H76" i="3"/>
  <c r="L76" i="3"/>
  <c r="M76" i="3"/>
  <c r="Q76" i="3"/>
  <c r="R76" i="3"/>
  <c r="AA76" i="3"/>
  <c r="D82" i="3"/>
  <c r="E82" i="3" s="1"/>
  <c r="I82" i="3"/>
  <c r="J82" i="3" s="1"/>
  <c r="N82" i="3"/>
  <c r="O82" i="3" s="1"/>
  <c r="S82" i="3"/>
  <c r="T82" i="3" s="1"/>
  <c r="V82" i="3"/>
  <c r="W82" i="3"/>
  <c r="H27" i="3" l="1"/>
  <c r="H23" i="27"/>
  <c r="H27" i="27" s="1"/>
  <c r="H80" i="27" s="1"/>
  <c r="H84" i="27" s="1"/>
  <c r="G27" i="3"/>
  <c r="G23" i="27"/>
  <c r="G27" i="27" s="1"/>
  <c r="G80" i="27" s="1"/>
  <c r="G84" i="27" s="1"/>
  <c r="C27" i="3"/>
  <c r="C23" i="27"/>
  <c r="C27" i="27" s="1"/>
  <c r="C80" i="27" s="1"/>
  <c r="C84" i="27" s="1"/>
  <c r="B27" i="3"/>
  <c r="B23" i="27"/>
  <c r="B27" i="27" s="1"/>
  <c r="B80" i="27" s="1"/>
  <c r="B84" i="27" s="1"/>
  <c r="AA23" i="3"/>
  <c r="AA27" i="3" s="1"/>
  <c r="AB14" i="27"/>
  <c r="F72" i="4"/>
  <c r="E72" i="4"/>
  <c r="D72" i="4"/>
  <c r="C72" i="4"/>
  <c r="D43" i="4"/>
  <c r="AC78" i="8"/>
  <c r="AB80" i="8"/>
  <c r="X67" i="27"/>
  <c r="Y67" i="27" s="1"/>
  <c r="AB67" i="27"/>
  <c r="AC67" i="27" s="1"/>
  <c r="E67" i="27"/>
  <c r="D76" i="27"/>
  <c r="E76" i="27" s="1"/>
  <c r="AB61" i="27"/>
  <c r="AC61" i="27" s="1"/>
  <c r="X61" i="27"/>
  <c r="Y61" i="27" s="1"/>
  <c r="W76" i="27"/>
  <c r="J61" i="27"/>
  <c r="I76" i="27"/>
  <c r="J76" i="27" s="1"/>
  <c r="AC43" i="27"/>
  <c r="AB76" i="27"/>
  <c r="Y43" i="27"/>
  <c r="X76" i="27"/>
  <c r="Y76" i="27" s="1"/>
  <c r="J40" i="27"/>
  <c r="I78" i="27"/>
  <c r="J78" i="27" s="1"/>
  <c r="AB36" i="27"/>
  <c r="W40" i="27"/>
  <c r="X36" i="27"/>
  <c r="V40" i="27"/>
  <c r="V78" i="27" s="1"/>
  <c r="V80" i="27" s="1"/>
  <c r="V84" i="27" s="1"/>
  <c r="E36" i="27"/>
  <c r="D40" i="27"/>
  <c r="I27" i="27"/>
  <c r="J23" i="27"/>
  <c r="X17" i="27"/>
  <c r="W23" i="27"/>
  <c r="W27" i="27" s="1"/>
  <c r="AB17" i="27"/>
  <c r="AC17" i="27" s="1"/>
  <c r="E17" i="27"/>
  <c r="D23" i="27"/>
  <c r="X19" i="27"/>
  <c r="Y19" i="27" s="1"/>
  <c r="AB19" i="27"/>
  <c r="AC19" i="27" s="1"/>
  <c r="Y80" i="10"/>
  <c r="X84" i="10"/>
  <c r="Y84" i="10" s="1"/>
  <c r="AC80" i="8"/>
  <c r="I84" i="8"/>
  <c r="J84" i="8" s="1"/>
  <c r="J80" i="8"/>
  <c r="Y80" i="8"/>
  <c r="X84" i="8"/>
  <c r="Y84" i="8" s="1"/>
  <c r="D84" i="8"/>
  <c r="E84" i="8" s="1"/>
  <c r="E80" i="8"/>
  <c r="X41" i="6"/>
  <c r="W79" i="6"/>
  <c r="W81" i="6" s="1"/>
  <c r="W85" i="6" s="1"/>
  <c r="AB24" i="6"/>
  <c r="AC24" i="6" s="1"/>
  <c r="I79" i="6"/>
  <c r="J79" i="6" s="1"/>
  <c r="X28" i="6"/>
  <c r="Y28" i="6" s="1"/>
  <c r="V79" i="6"/>
  <c r="V81" i="6" s="1"/>
  <c r="V85" i="6" s="1"/>
  <c r="D79" i="6"/>
  <c r="E79" i="6" s="1"/>
  <c r="E41" i="6"/>
  <c r="Y44" i="6"/>
  <c r="X77" i="6"/>
  <c r="Y77" i="6" s="1"/>
  <c r="Y41" i="6"/>
  <c r="E28" i="6"/>
  <c r="T28" i="6"/>
  <c r="S81" i="6"/>
  <c r="AB77" i="6"/>
  <c r="AC44" i="6"/>
  <c r="J28" i="6"/>
  <c r="AC28" i="6"/>
  <c r="C43" i="4"/>
  <c r="E43" i="4"/>
  <c r="B43" i="4"/>
  <c r="F43" i="4"/>
  <c r="X21" i="3"/>
  <c r="Y21" i="3" s="1"/>
  <c r="X20" i="3"/>
  <c r="Y20" i="3" s="1"/>
  <c r="AB14" i="3"/>
  <c r="AC14" i="3" s="1"/>
  <c r="M78" i="3"/>
  <c r="M80" i="3" s="1"/>
  <c r="M84" i="3" s="1"/>
  <c r="L78" i="3"/>
  <c r="L80" i="3" s="1"/>
  <c r="L84" i="3" s="1"/>
  <c r="X66" i="3"/>
  <c r="Y66" i="3" s="1"/>
  <c r="X62" i="3"/>
  <c r="Y62" i="3" s="1"/>
  <c r="X69" i="3"/>
  <c r="Y69" i="3" s="1"/>
  <c r="X32" i="3"/>
  <c r="Y32" i="3" s="1"/>
  <c r="G78" i="3"/>
  <c r="G80" i="3" s="1"/>
  <c r="G84" i="3" s="1"/>
  <c r="X58" i="3"/>
  <c r="Y58" i="3" s="1"/>
  <c r="R78" i="3"/>
  <c r="B78" i="3"/>
  <c r="B80" i="3" s="1"/>
  <c r="B84" i="3" s="1"/>
  <c r="V76" i="3"/>
  <c r="AA78" i="3"/>
  <c r="AA80" i="3" s="1"/>
  <c r="X47" i="3"/>
  <c r="Y47" i="3" s="1"/>
  <c r="X74" i="3"/>
  <c r="Y74" i="3" s="1"/>
  <c r="X60" i="3"/>
  <c r="Y60" i="3" s="1"/>
  <c r="X51" i="3"/>
  <c r="Y51" i="3" s="1"/>
  <c r="X37" i="3"/>
  <c r="Y37" i="3" s="1"/>
  <c r="X17" i="3"/>
  <c r="Y17" i="3" s="1"/>
  <c r="Q78" i="3"/>
  <c r="Q80" i="3" s="1"/>
  <c r="Q84" i="3" s="1"/>
  <c r="X75" i="3"/>
  <c r="Y75" i="3" s="1"/>
  <c r="X49" i="3"/>
  <c r="Y49" i="3" s="1"/>
  <c r="X18" i="3"/>
  <c r="Y18" i="3" s="1"/>
  <c r="X82" i="3"/>
  <c r="Y82" i="3" s="1"/>
  <c r="R80" i="3"/>
  <c r="R84" i="3" s="1"/>
  <c r="X56" i="3"/>
  <c r="Y56" i="3" s="1"/>
  <c r="X38" i="3"/>
  <c r="Y38" i="3" s="1"/>
  <c r="X15" i="3"/>
  <c r="Y15" i="3" s="1"/>
  <c r="H78" i="3"/>
  <c r="H80" i="3" s="1"/>
  <c r="H84" i="3" s="1"/>
  <c r="X34" i="3"/>
  <c r="Y34" i="3" s="1"/>
  <c r="AA82" i="3"/>
  <c r="AB82" i="3" s="1"/>
  <c r="AC82" i="3" s="1"/>
  <c r="X52" i="3"/>
  <c r="Y52" i="3" s="1"/>
  <c r="X43" i="3"/>
  <c r="Y43" i="3" s="1"/>
  <c r="W40" i="3"/>
  <c r="X35" i="3"/>
  <c r="Y35" i="3" s="1"/>
  <c r="X72" i="3"/>
  <c r="Y72" i="3" s="1"/>
  <c r="X55" i="3"/>
  <c r="Y55" i="3" s="1"/>
  <c r="X53" i="3"/>
  <c r="Y53" i="3" s="1"/>
  <c r="X44" i="3"/>
  <c r="Y44" i="3" s="1"/>
  <c r="X13" i="3"/>
  <c r="Y13" i="3" s="1"/>
  <c r="W76" i="3"/>
  <c r="C78" i="3"/>
  <c r="C80" i="3" s="1"/>
  <c r="C84" i="3" s="1"/>
  <c r="N40" i="3"/>
  <c r="O40" i="3" s="1"/>
  <c r="X71" i="3"/>
  <c r="Y71" i="3" s="1"/>
  <c r="X68" i="3"/>
  <c r="Y68" i="3" s="1"/>
  <c r="X46" i="3"/>
  <c r="Y46" i="3" s="1"/>
  <c r="AB20" i="3"/>
  <c r="AC20" i="3" s="1"/>
  <c r="X48" i="3"/>
  <c r="Y48" i="3" s="1"/>
  <c r="X45" i="3"/>
  <c r="Y45" i="3" s="1"/>
  <c r="X22" i="3"/>
  <c r="Y22" i="3" s="1"/>
  <c r="X64" i="3"/>
  <c r="Y64" i="3" s="1"/>
  <c r="X61" i="3"/>
  <c r="Y61" i="3" s="1"/>
  <c r="X36" i="3"/>
  <c r="Y36" i="3" s="1"/>
  <c r="X33" i="3"/>
  <c r="Y33" i="3" s="1"/>
  <c r="X19" i="3"/>
  <c r="Y19" i="3" s="1"/>
  <c r="X16" i="3"/>
  <c r="Y16" i="3" s="1"/>
  <c r="X73" i="3"/>
  <c r="Y73" i="3" s="1"/>
  <c r="X59" i="3"/>
  <c r="Y59" i="3" s="1"/>
  <c r="X57" i="3"/>
  <c r="Y57" i="3" s="1"/>
  <c r="X54" i="3"/>
  <c r="Y54" i="3" s="1"/>
  <c r="X50" i="3"/>
  <c r="Y50" i="3" s="1"/>
  <c r="D40" i="3"/>
  <c r="E40" i="3" s="1"/>
  <c r="X14" i="3"/>
  <c r="Y14" i="3" s="1"/>
  <c r="AC43" i="3"/>
  <c r="AC32" i="3"/>
  <c r="AB40" i="3"/>
  <c r="S76" i="3"/>
  <c r="T76" i="3" s="1"/>
  <c r="I76" i="3"/>
  <c r="J76" i="3" s="1"/>
  <c r="V40" i="3"/>
  <c r="N23" i="3"/>
  <c r="D23" i="3"/>
  <c r="AB49" i="3"/>
  <c r="AC49" i="3" s="1"/>
  <c r="AB45" i="3"/>
  <c r="AC45" i="3" s="1"/>
  <c r="W23" i="3"/>
  <c r="W27" i="3" s="1"/>
  <c r="AB13" i="3"/>
  <c r="S40" i="3"/>
  <c r="I40" i="3"/>
  <c r="V23" i="3"/>
  <c r="V27" i="3" s="1"/>
  <c r="AB18" i="3"/>
  <c r="AC18" i="3" s="1"/>
  <c r="N76" i="3"/>
  <c r="D76" i="3"/>
  <c r="S23" i="3"/>
  <c r="I23" i="3"/>
  <c r="AC36" i="27" l="1"/>
  <c r="AB40" i="27"/>
  <c r="AC40" i="27" s="1"/>
  <c r="AC14" i="27"/>
  <c r="AB23" i="27"/>
  <c r="AC23" i="27" s="1"/>
  <c r="AB85" i="6"/>
  <c r="AC85" i="6" s="1"/>
  <c r="D27" i="27"/>
  <c r="E23" i="27"/>
  <c r="AB27" i="27"/>
  <c r="Y17" i="27"/>
  <c r="X23" i="27"/>
  <c r="J27" i="27"/>
  <c r="I80" i="27"/>
  <c r="D78" i="27"/>
  <c r="E78" i="27" s="1"/>
  <c r="E40" i="27"/>
  <c r="Y36" i="27"/>
  <c r="X40" i="27"/>
  <c r="AC76" i="27"/>
  <c r="AB78" i="27"/>
  <c r="AC78" i="27" s="1"/>
  <c r="W78" i="27"/>
  <c r="W80" i="27" s="1"/>
  <c r="W84" i="27" s="1"/>
  <c r="AB84" i="27" s="1"/>
  <c r="AC84" i="27" s="1"/>
  <c r="I81" i="6"/>
  <c r="J81" i="6" s="1"/>
  <c r="D81" i="6"/>
  <c r="D85" i="6" s="1"/>
  <c r="E85" i="6" s="1"/>
  <c r="AC77" i="6"/>
  <c r="AB79" i="6"/>
  <c r="AB81" i="6" s="1"/>
  <c r="X79" i="6"/>
  <c r="T81" i="6"/>
  <c r="S85" i="6"/>
  <c r="T85" i="6" s="1"/>
  <c r="AA84" i="3"/>
  <c r="V78" i="3"/>
  <c r="V80" i="3" s="1"/>
  <c r="V84" i="3" s="1"/>
  <c r="X40" i="3"/>
  <c r="X23" i="3"/>
  <c r="X27" i="3" s="1"/>
  <c r="W78" i="3"/>
  <c r="W80" i="3" s="1"/>
  <c r="W84" i="3" s="1"/>
  <c r="X76" i="3"/>
  <c r="Y76" i="3" s="1"/>
  <c r="O76" i="3"/>
  <c r="N78" i="3"/>
  <c r="O78" i="3" s="1"/>
  <c r="AC40" i="3"/>
  <c r="E76" i="3"/>
  <c r="D78" i="3"/>
  <c r="E78" i="3" s="1"/>
  <c r="D27" i="3"/>
  <c r="E23" i="3"/>
  <c r="N27" i="3"/>
  <c r="O23" i="3"/>
  <c r="AB76" i="3"/>
  <c r="AC76" i="3" s="1"/>
  <c r="J23" i="3"/>
  <c r="I27" i="3"/>
  <c r="J40" i="3"/>
  <c r="I78" i="3"/>
  <c r="J78" i="3" s="1"/>
  <c r="AB23" i="3"/>
  <c r="AC23" i="3" s="1"/>
  <c r="AC13" i="3"/>
  <c r="T23" i="3"/>
  <c r="S27" i="3"/>
  <c r="T40" i="3"/>
  <c r="S78" i="3"/>
  <c r="T78" i="3" s="1"/>
  <c r="AB27" i="3"/>
  <c r="Y40" i="27" l="1"/>
  <c r="X78" i="27"/>
  <c r="Y78" i="27" s="1"/>
  <c r="I84" i="27"/>
  <c r="J84" i="27" s="1"/>
  <c r="J80" i="27"/>
  <c r="X27" i="27"/>
  <c r="Y23" i="27"/>
  <c r="AC27" i="27"/>
  <c r="AB80" i="27"/>
  <c r="AC80" i="27" s="1"/>
  <c r="D80" i="27"/>
  <c r="E27" i="27"/>
  <c r="E81" i="6"/>
  <c r="I85" i="6"/>
  <c r="J85" i="6" s="1"/>
  <c r="Y79" i="6"/>
  <c r="X81" i="6"/>
  <c r="AC79" i="6"/>
  <c r="AC81" i="6"/>
  <c r="AB84" i="3"/>
  <c r="AC84" i="3" s="1"/>
  <c r="X78" i="3"/>
  <c r="Y78" i="3" s="1"/>
  <c r="Y40" i="3"/>
  <c r="Y23" i="3"/>
  <c r="S80" i="3"/>
  <c r="T27" i="3"/>
  <c r="I80" i="3"/>
  <c r="J27" i="3"/>
  <c r="AC27" i="3"/>
  <c r="AB78" i="3"/>
  <c r="O27" i="3"/>
  <c r="N80" i="3"/>
  <c r="E27" i="3"/>
  <c r="D80" i="3"/>
  <c r="Y27" i="3"/>
  <c r="AC78" i="3" l="1"/>
  <c r="AB80" i="3"/>
  <c r="D84" i="27"/>
  <c r="E84" i="27" s="1"/>
  <c r="E80" i="27"/>
  <c r="X80" i="27"/>
  <c r="Y27" i="27"/>
  <c r="Y81" i="6"/>
  <c r="X85" i="6"/>
  <c r="Y85" i="6" s="1"/>
  <c r="X80" i="3"/>
  <c r="Y80" i="3" s="1"/>
  <c r="AC80" i="3"/>
  <c r="D84" i="3"/>
  <c r="E84" i="3" s="1"/>
  <c r="E80" i="3"/>
  <c r="I84" i="3"/>
  <c r="J84" i="3" s="1"/>
  <c r="J80" i="3"/>
  <c r="O80" i="3"/>
  <c r="N84" i="3"/>
  <c r="O84" i="3" s="1"/>
  <c r="S84" i="3"/>
  <c r="T84" i="3" s="1"/>
  <c r="T80" i="3"/>
  <c r="Y80" i="27" l="1"/>
  <c r="X84" i="27"/>
  <c r="Y84" i="27" s="1"/>
  <c r="X84" i="3"/>
  <c r="Y84" i="3" s="1"/>
</calcChain>
</file>

<file path=xl/comments1.xml><?xml version="1.0" encoding="utf-8"?>
<comments xmlns="http://schemas.openxmlformats.org/spreadsheetml/2006/main">
  <authors>
    <author>Marisa Harding Hodge</author>
  </authors>
  <commentList>
    <comment ref="A82" authorId="0" shapeId="0">
      <text>
        <r>
          <rPr>
            <b/>
            <sz val="9"/>
            <color indexed="81"/>
            <rFont val="Tahoma"/>
            <family val="2"/>
          </rPr>
          <t>Marisa Harding Hodge:</t>
        </r>
        <r>
          <rPr>
            <sz val="9"/>
            <color indexed="81"/>
            <rFont val="Tahoma"/>
            <family val="2"/>
          </rPr>
          <t xml:space="preserve">
This is for transfers of surpluses back to Government. Not for subvention</t>
        </r>
      </text>
    </comment>
  </commentList>
</comments>
</file>

<file path=xl/sharedStrings.xml><?xml version="1.0" encoding="utf-8"?>
<sst xmlns="http://schemas.openxmlformats.org/spreadsheetml/2006/main" count="1942" uniqueCount="226">
  <si>
    <t>GOVERNMENT OF ANGUILLA</t>
  </si>
  <si>
    <t>CONSOLIDATED INCOME STATEMENT</t>
  </si>
  <si>
    <t>STATEMENT OF COMPREHENSIVE INCOME</t>
  </si>
  <si>
    <t xml:space="preserve">For the Quarter ending </t>
  </si>
  <si>
    <t>June 2020</t>
  </si>
  <si>
    <t>UNAUDITED</t>
  </si>
  <si>
    <t>Quarter 1</t>
  </si>
  <si>
    <t>Quarter 2</t>
  </si>
  <si>
    <t>Quarter 3</t>
  </si>
  <si>
    <t>Quarter 4</t>
  </si>
  <si>
    <t>YEAR TO DATE</t>
  </si>
  <si>
    <t>2020 ANNUAL BUDGET</t>
  </si>
  <si>
    <t>Note reference to support the accompanying report on financial performance for the quarter.</t>
  </si>
  <si>
    <t>Description</t>
  </si>
  <si>
    <t>Budget</t>
  </si>
  <si>
    <t>Actual</t>
  </si>
  <si>
    <t>Variance Fav/(Unfav)</t>
  </si>
  <si>
    <t>Budget / Estimate</t>
  </si>
  <si>
    <t>Budget Remaining</t>
  </si>
  <si>
    <t>EC $</t>
  </si>
  <si>
    <t>%</t>
  </si>
  <si>
    <t>INCOME</t>
  </si>
  <si>
    <t>Operational Fees</t>
  </si>
  <si>
    <t>Dues and Charges</t>
  </si>
  <si>
    <t>Interest Income</t>
  </si>
  <si>
    <t>Rental Income</t>
  </si>
  <si>
    <t>Other Operational Income</t>
  </si>
  <si>
    <t>Sale of Goods</t>
  </si>
  <si>
    <t>Subvention from GOA</t>
  </si>
  <si>
    <t>Donations and Other Grants</t>
  </si>
  <si>
    <t>Transactions between Statutory Bodies</t>
  </si>
  <si>
    <t>Pension and Benefit Contributions (ASSB &amp; PSPF)</t>
  </si>
  <si>
    <t>Total Operational Income</t>
  </si>
  <si>
    <t>Capital Grants</t>
  </si>
  <si>
    <t>Total Income and Grants</t>
  </si>
  <si>
    <t>EXPENDITURE</t>
  </si>
  <si>
    <t>Personnel Costs</t>
  </si>
  <si>
    <t>Salaries</t>
  </si>
  <si>
    <t>Wages</t>
  </si>
  <si>
    <t>Pension and Gratuities</t>
  </si>
  <si>
    <t>Social Security Contributions</t>
  </si>
  <si>
    <t>Allowances</t>
  </si>
  <si>
    <t>Staff Medical Insurance</t>
  </si>
  <si>
    <t>Rewards &amp; Incentives</t>
  </si>
  <si>
    <t>Other</t>
  </si>
  <si>
    <t>Total Personnel Costs</t>
  </si>
  <si>
    <t>Operational Expenditure</t>
  </si>
  <si>
    <t>Advertising and Promotions</t>
  </si>
  <si>
    <t>Auditing and Accounting</t>
  </si>
  <si>
    <t>Bad debt write off/increase provisions</t>
  </si>
  <si>
    <t>Bank Charges</t>
  </si>
  <si>
    <t>Board Expenses</t>
  </si>
  <si>
    <t>Communications Expenses</t>
  </si>
  <si>
    <t>Computer License Software and Hardware Maintenance</t>
  </si>
  <si>
    <t>Debt service Interests</t>
  </si>
  <si>
    <t>Depreciation and Amortisation</t>
  </si>
  <si>
    <t>Directors' fees and expenses</t>
  </si>
  <si>
    <t>Drugs, Medical and Laboratory Supplies</t>
  </si>
  <si>
    <t>Expenditure paid to other Government Entities</t>
  </si>
  <si>
    <t>Hosting and Entertainment</t>
  </si>
  <si>
    <t>Insurance</t>
  </si>
  <si>
    <t>International Travel and Subsistence</t>
  </si>
  <si>
    <t>Local Travel and Subsistence</t>
  </si>
  <si>
    <t>Maintenance Expenses</t>
  </si>
  <si>
    <t>Office Expenses</t>
  </si>
  <si>
    <t>Other Operating Expenses</t>
  </si>
  <si>
    <t>Other Supplies, Materials and Equipment</t>
  </si>
  <si>
    <t>Pension and Long Term Benefits (ASSB &amp; PSPF)</t>
  </si>
  <si>
    <t>Professional and Consultancy Services</t>
  </si>
  <si>
    <t>Rental of Equipment</t>
  </si>
  <si>
    <t>Rental of Property</t>
  </si>
  <si>
    <t>Short Term Benefits (ASSB)</t>
  </si>
  <si>
    <t>Subscriptions and Contributions</t>
  </si>
  <si>
    <t>Subscriptions, Periodicals, Books, etc.</t>
  </si>
  <si>
    <t>Sundry Expenses</t>
  </si>
  <si>
    <t>Training</t>
  </si>
  <si>
    <t>Uniforms &amp; Protective Clothing</t>
  </si>
  <si>
    <t>Utilities</t>
  </si>
  <si>
    <t>Water Production costs (WCA)</t>
  </si>
  <si>
    <t>Total Operational Expenditure</t>
  </si>
  <si>
    <t>Total Expenditure</t>
  </si>
  <si>
    <t xml:space="preserve">Surplus/Deficit </t>
  </si>
  <si>
    <t>GOVERNMENT Transfer</t>
  </si>
  <si>
    <t xml:space="preserve">Net Surplus/Deficit - after GOA Transfer </t>
  </si>
  <si>
    <t>STATEMENT OF FINANCIAL POSITION</t>
  </si>
  <si>
    <t xml:space="preserve">As at the Quarter ending </t>
  </si>
  <si>
    <t>Financial Position Statements of Stat Bodies in red are not included in consolidated total due to errors in balance sheets)</t>
  </si>
  <si>
    <t>30th  June 2020</t>
  </si>
  <si>
    <t>AASPA</t>
  </si>
  <si>
    <t>ADB</t>
  </si>
  <si>
    <t>ACC</t>
  </si>
  <si>
    <t>ATB</t>
  </si>
  <si>
    <t>AFSC</t>
  </si>
  <si>
    <t>PUC</t>
  </si>
  <si>
    <t>PSPF</t>
  </si>
  <si>
    <t>HAA</t>
  </si>
  <si>
    <t>WCA</t>
  </si>
  <si>
    <t>ANT</t>
  </si>
  <si>
    <t>Qtr 2</t>
  </si>
  <si>
    <t>ASSETS</t>
  </si>
  <si>
    <t>Current Assets</t>
  </si>
  <si>
    <t>Cash and Cash Equivalents</t>
  </si>
  <si>
    <t>Trade Receivables</t>
  </si>
  <si>
    <t>Prepayments</t>
  </si>
  <si>
    <t>Staff Advances</t>
  </si>
  <si>
    <t>Other Receivables</t>
  </si>
  <si>
    <t>Inventories</t>
  </si>
  <si>
    <t>Total Current Assets</t>
  </si>
  <si>
    <t>Investments</t>
  </si>
  <si>
    <t>Property</t>
  </si>
  <si>
    <t>Bonds</t>
  </si>
  <si>
    <t>Stocks</t>
  </si>
  <si>
    <t>Long term Bank Deposits</t>
  </si>
  <si>
    <t>Long Term Loans (Notes Receivable)</t>
  </si>
  <si>
    <t>Promissory Note (ASSB)/ DPT (PSPF)</t>
  </si>
  <si>
    <t>Others</t>
  </si>
  <si>
    <t>Total Investments</t>
  </si>
  <si>
    <t>Fixed Assets (Property, Plant &amp; Equipment)</t>
  </si>
  <si>
    <t>Buildings and Improvements</t>
  </si>
  <si>
    <t>Furniture &amp; Fittings</t>
  </si>
  <si>
    <t>Office equipment</t>
  </si>
  <si>
    <t>Computer Equipment</t>
  </si>
  <si>
    <t>Motor Vehicles</t>
  </si>
  <si>
    <t>Other Plant &amp;  Equipment</t>
  </si>
  <si>
    <t>Total Property, Plant &amp; Equipment</t>
  </si>
  <si>
    <t>Intangible Assets</t>
  </si>
  <si>
    <t>TOTAL ASSETS</t>
  </si>
  <si>
    <t>EQUITY AND LIABILITIES</t>
  </si>
  <si>
    <t>Current Liabilities</t>
  </si>
  <si>
    <t>Accounts Payables</t>
  </si>
  <si>
    <t>ASSB</t>
  </si>
  <si>
    <t>GOA - Interim Stabilization Levy</t>
  </si>
  <si>
    <t>GOA-Other</t>
  </si>
  <si>
    <t>Other Stat Body</t>
  </si>
  <si>
    <t>Other Commercial</t>
  </si>
  <si>
    <t>Accruals</t>
  </si>
  <si>
    <t>Borrowing - Short term</t>
  </si>
  <si>
    <t>Deferred Income</t>
  </si>
  <si>
    <t>Total Current Liabilities</t>
  </si>
  <si>
    <t>Long Term liabilities</t>
  </si>
  <si>
    <t>Borrowing (GOA - Other)</t>
  </si>
  <si>
    <t>Other - Jetty</t>
  </si>
  <si>
    <t>Total Long Term Liabilities</t>
  </si>
  <si>
    <t xml:space="preserve">Equity </t>
  </si>
  <si>
    <t>Capital/Reserve Fund</t>
  </si>
  <si>
    <t>Loan Redemption Sinking Fund</t>
  </si>
  <si>
    <t>Other reserves</t>
  </si>
  <si>
    <t>Retained Surplus for the year</t>
  </si>
  <si>
    <t>Total Equity</t>
  </si>
  <si>
    <t>TOTAL LIABILITIES AND EQUITY</t>
  </si>
  <si>
    <t>Anguilla Air and Sea Ports Authority</t>
  </si>
  <si>
    <t xml:space="preserve">Operational Fees </t>
  </si>
  <si>
    <t xml:space="preserve">Dues and Charges, Revenue </t>
  </si>
  <si>
    <t>Subvention</t>
  </si>
  <si>
    <t>Wages, temporary staff</t>
  </si>
  <si>
    <t xml:space="preserve">Staff Medical Insurance </t>
  </si>
  <si>
    <t>Rewards and Incentives</t>
  </si>
  <si>
    <t xml:space="preserve">Other Operating Expenses </t>
  </si>
  <si>
    <t>Professional and Consultancy Services/legal</t>
  </si>
  <si>
    <r>
      <t xml:space="preserve">Rental of </t>
    </r>
    <r>
      <rPr>
        <sz val="11"/>
        <color rgb="FFFF0000"/>
        <rFont val="Calibri"/>
        <family val="2"/>
        <scheme val="minor"/>
      </rPr>
      <t>Property</t>
    </r>
  </si>
  <si>
    <t>Water Production Costs (WCA)</t>
  </si>
  <si>
    <t>ANGUILLA AIR &amp; SEA PORTS AUTHORITY</t>
  </si>
  <si>
    <t>Opening</t>
  </si>
  <si>
    <t>Qtr 1</t>
  </si>
  <si>
    <t>Qtr 3</t>
  </si>
  <si>
    <t>Qtr 4</t>
  </si>
  <si>
    <t>Public Service Pension Fund</t>
  </si>
  <si>
    <t>Long term Loans</t>
  </si>
  <si>
    <t>Promissory Note (ASSB)/DPT</t>
  </si>
  <si>
    <t>Other Plant &amp; Equipment</t>
  </si>
  <si>
    <t>Borrowing</t>
  </si>
  <si>
    <t>ANGUILLA DEVELOPMENT BOARD</t>
  </si>
  <si>
    <t xml:space="preserve">  </t>
  </si>
  <si>
    <t xml:space="preserve"> </t>
  </si>
  <si>
    <t xml:space="preserve">Long Term Loans </t>
  </si>
  <si>
    <t>Promissory Note (ASSB)/ Depositor's Protection Trust (PSPF)</t>
  </si>
  <si>
    <t>HEALTH AUTHORITY OF ANGUILLA</t>
  </si>
  <si>
    <t>JUNE 2020</t>
  </si>
  <si>
    <t>Var. Fav/(Unfav)</t>
  </si>
  <si>
    <t>Dues and Charges,</t>
  </si>
  <si>
    <t xml:space="preserve">Sale of Goods </t>
  </si>
  <si>
    <t xml:space="preserve">Donations and Other Grants </t>
  </si>
  <si>
    <t xml:space="preserve">Other </t>
  </si>
  <si>
    <t xml:space="preserve">Rental of Equipment </t>
  </si>
  <si>
    <t>Health Authority of Anguilla</t>
  </si>
  <si>
    <t xml:space="preserve">Long Term Bank Deposits </t>
  </si>
  <si>
    <t>Promissory Note (ASSB) / Deposit Protection Trust (PSPF)</t>
  </si>
  <si>
    <t xml:space="preserve">Accounts Payables </t>
  </si>
  <si>
    <t xml:space="preserve">ANGUILLA COMMUNITY COLLEGE </t>
  </si>
  <si>
    <t>Pensionand Benefit Contributions (ASSB &amp; PSPF)</t>
  </si>
  <si>
    <t xml:space="preserve">Wages </t>
  </si>
  <si>
    <t>Social Security Contributions -Faculty</t>
  </si>
  <si>
    <t>Debt Service Interests (Gain/Loss on Exchange Rates )</t>
  </si>
  <si>
    <t xml:space="preserve">Office Expenses/ Stationery Supplies </t>
  </si>
  <si>
    <t>Professional and Consultancy Services-CDB Fees</t>
  </si>
  <si>
    <t>Sundry Expenses (Certificate Presentation )</t>
  </si>
  <si>
    <t xml:space="preserve">Anguilla Community College </t>
  </si>
  <si>
    <t>Long Term Loans</t>
  </si>
  <si>
    <t>[INSERT STATUTORY BODY NAME HERE]</t>
  </si>
  <si>
    <t xml:space="preserve">The Anguilla Tourist Board </t>
  </si>
  <si>
    <t>Income Statement by Quarter</t>
  </si>
  <si>
    <t>Pension/Long Term Benefit Contributions (ASSB &amp; PSPF)</t>
  </si>
  <si>
    <t>Subscriptions and Contributions (Sponsorships)</t>
  </si>
  <si>
    <t>Impairment of Licence</t>
  </si>
  <si>
    <t>The Anguilla Tourist Board</t>
  </si>
  <si>
    <t>Other Stat Body (Social Security)</t>
  </si>
  <si>
    <t>Borrowing- Short Term</t>
  </si>
  <si>
    <t>ANGUILLA FINANCIAL SERVICES COMMISSION</t>
  </si>
  <si>
    <t>Subvention from GoA</t>
  </si>
  <si>
    <t>Anguilla Financial Services Commission</t>
  </si>
  <si>
    <t>30TH June 2020</t>
  </si>
  <si>
    <t>Promissory Note (ASSB/DPT)</t>
  </si>
  <si>
    <t>Computer &amp; Equipment</t>
  </si>
  <si>
    <t>GOA OTHER</t>
  </si>
  <si>
    <t>ANGUILLA NATIONAL TRUST</t>
  </si>
  <si>
    <t>Pension &amp; Long Trm Benefits (ASSB &amp; PSPF)</t>
  </si>
  <si>
    <t>Water Production Costs  (WCA)</t>
  </si>
  <si>
    <t>Long term Loans ( Note Receivable)</t>
  </si>
  <si>
    <t>PUBLIC UTILITIES COMMISSION</t>
  </si>
  <si>
    <t>30th  JUNE 2020</t>
  </si>
  <si>
    <t>Long Term Loans (Note Receivable)</t>
  </si>
  <si>
    <t>Lease Liability</t>
  </si>
  <si>
    <t>WATER CORPORATION OF ANGUILLA</t>
  </si>
  <si>
    <t>Pension and Benefit contributions (ASSB/PSPF)</t>
  </si>
  <si>
    <t>Debt Service Interests</t>
  </si>
  <si>
    <t>Consolidated (w.o HAA, WCA, ANT)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</si>
</sst>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d&quot;-&quot;mmm&quot;-&quot;yyyy"/>
    <numFmt numFmtId="166" formatCode="&quot; &quot;* #,##0.00&quot; &quot;;&quot; &quot;* \(#,##0.00\);&quot; &quot;* &quot;-&quot;??&quot; &quot;"/>
    <numFmt numFmtId="167" formatCode="&quot; &quot;* #,##0&quot; &quot;;&quot; &quot;* \(#,##0\);&quot; &quot;* &quot;- &quot;"/>
    <numFmt numFmtId="168" formatCode="&quot; &quot;* #,##0&quot; &quot;;&quot; &quot;* \(#,##0\);&quot; &quot;* &quot;-&quot;??&quot; &quot;"/>
    <numFmt numFmtId="169" formatCode="_(* #,##0_);_(* \(#,##0\);_(* &quot;-&quot;??_);_(@_)"/>
  </numFmts>
  <fonts count="52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Tahoma"/>
      <family val="2"/>
    </font>
    <font>
      <sz val="14"/>
      <color indexed="8"/>
      <name val="Tahoma"/>
      <family val="2"/>
    </font>
    <font>
      <b/>
      <sz val="12"/>
      <color indexed="8"/>
      <name val="Calibri"/>
      <family val="2"/>
    </font>
    <font>
      <b/>
      <sz val="12"/>
      <color indexed="11"/>
      <name val="Calibri"/>
      <family val="2"/>
    </font>
    <font>
      <sz val="12"/>
      <color indexed="8"/>
      <name val="Calibri"/>
      <family val="2"/>
    </font>
    <font>
      <sz val="12"/>
      <color indexed="11"/>
      <name val="Calibri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20"/>
      <color indexed="14"/>
      <name val="Calibri"/>
      <family val="2"/>
    </font>
    <font>
      <b/>
      <sz val="12"/>
      <color indexed="9"/>
      <name val="Calibri"/>
      <family val="2"/>
    </font>
    <font>
      <sz val="11"/>
      <color indexed="8"/>
      <name val="Calibri"/>
      <family val="2"/>
    </font>
    <font>
      <i/>
      <sz val="12"/>
      <color indexed="8"/>
      <name val="Calibri"/>
      <family val="2"/>
    </font>
    <font>
      <b/>
      <sz val="14"/>
      <name val="Tahoma"/>
      <family val="2"/>
    </font>
    <font>
      <sz val="14"/>
      <name val="Tahoma"/>
      <family val="2"/>
    </font>
    <font>
      <b/>
      <sz val="10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2"/>
      <color theme="6" tint="-0.499984740745262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8"/>
      <color theme="1"/>
      <name val="Calibri"/>
      <family val="2"/>
      <scheme val="minor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b/>
      <sz val="18"/>
      <color indexed="11"/>
      <name val="Calibri"/>
      <family val="2"/>
    </font>
    <font>
      <sz val="18"/>
      <color indexed="11"/>
      <name val="Calibri"/>
      <family val="2"/>
    </font>
    <font>
      <sz val="18"/>
      <name val="Calibri"/>
      <family val="2"/>
      <scheme val="minor"/>
    </font>
    <font>
      <b/>
      <sz val="18"/>
      <color indexed="9"/>
      <name val="Calibri"/>
      <family val="2"/>
    </font>
    <font>
      <sz val="18"/>
      <color indexed="14"/>
      <name val="Calibri"/>
      <family val="2"/>
    </font>
    <font>
      <sz val="18"/>
      <name val="Tahoma"/>
      <family val="2"/>
    </font>
    <font>
      <b/>
      <sz val="18"/>
      <name val="Tahoma"/>
      <family val="2"/>
    </font>
    <font>
      <sz val="18"/>
      <color indexed="8"/>
      <name val="Tahoma"/>
      <family val="2"/>
    </font>
    <font>
      <b/>
      <sz val="18"/>
      <color indexed="8"/>
      <name val="Tahoma"/>
      <family val="2"/>
    </font>
    <font>
      <b/>
      <sz val="12"/>
      <color rgb="FFFF0000"/>
      <name val="Calibri"/>
      <family val="2"/>
    </font>
    <font>
      <b/>
      <u/>
      <sz val="11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rgb="FFFFFFFF"/>
        <bgColor indexed="64"/>
      </patternFill>
    </fill>
  </fills>
  <borders count="96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10"/>
      </left>
      <right/>
      <top style="medium">
        <color indexed="8"/>
      </top>
      <bottom/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 style="thin">
        <color indexed="10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10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10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8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10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8"/>
      </left>
      <right style="medium">
        <color indexed="64"/>
      </right>
      <top/>
      <bottom style="thin">
        <color rgb="FF000000"/>
      </bottom>
      <diagonal/>
    </border>
  </borders>
  <cellStyleXfs count="3">
    <xf numFmtId="0" fontId="0" fillId="0" borderId="0"/>
    <xf numFmtId="9" fontId="21" fillId="0" borderId="0" applyFont="0" applyFill="0" applyBorder="0" applyAlignment="0" applyProtection="0"/>
    <xf numFmtId="164" fontId="21" fillId="0" borderId="0" applyFont="0" applyFill="0" applyBorder="0" applyAlignment="0" applyProtection="0"/>
  </cellStyleXfs>
  <cellXfs count="913">
    <xf numFmtId="0" fontId="0" fillId="0" borderId="0" xfId="0"/>
    <xf numFmtId="165" fontId="2" fillId="2" borderId="2" xfId="0" applyNumberFormat="1" applyFont="1" applyFill="1" applyBorder="1" applyAlignment="1">
      <alignment vertical="center"/>
    </xf>
    <xf numFmtId="0" fontId="0" fillId="0" borderId="0" xfId="0" applyFont="1" applyAlignment="1"/>
    <xf numFmtId="165" fontId="0" fillId="2" borderId="4" xfId="0" applyNumberFormat="1" applyFont="1" applyFill="1" applyBorder="1" applyAlignment="1"/>
    <xf numFmtId="165" fontId="1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4" fillId="2" borderId="6" xfId="0" applyNumberFormat="1" applyFont="1" applyFill="1" applyBorder="1" applyAlignment="1"/>
    <xf numFmtId="165" fontId="4" fillId="2" borderId="7" xfId="0" applyNumberFormat="1" applyFont="1" applyFill="1" applyBorder="1" applyAlignment="1"/>
    <xf numFmtId="0" fontId="0" fillId="0" borderId="0" xfId="0" applyNumberFormat="1" applyFont="1" applyAlignment="1"/>
    <xf numFmtId="0" fontId="9" fillId="0" borderId="0" xfId="0" applyFont="1" applyAlignment="1"/>
    <xf numFmtId="49" fontId="11" fillId="2" borderId="4" xfId="0" applyNumberFormat="1" applyFont="1" applyFill="1" applyBorder="1" applyAlignment="1"/>
    <xf numFmtId="49" fontId="6" fillId="2" borderId="4" xfId="0" applyNumberFormat="1" applyFont="1" applyFill="1" applyBorder="1" applyAlignment="1"/>
    <xf numFmtId="3" fontId="6" fillId="2" borderId="0" xfId="0" applyNumberFormat="1" applyFont="1" applyFill="1" applyBorder="1" applyAlignment="1"/>
    <xf numFmtId="49" fontId="0" fillId="2" borderId="4" xfId="0" applyNumberFormat="1" applyFont="1" applyFill="1" applyBorder="1" applyAlignment="1"/>
    <xf numFmtId="49" fontId="0" fillId="2" borderId="16" xfId="0" applyNumberFormat="1" applyFont="1" applyFill="1" applyBorder="1" applyAlignment="1"/>
    <xf numFmtId="3" fontId="0" fillId="2" borderId="0" xfId="0" applyNumberFormat="1" applyFont="1" applyFill="1" applyBorder="1" applyAlignment="1"/>
    <xf numFmtId="49" fontId="6" fillId="2" borderId="4" xfId="0" applyNumberFormat="1" applyFont="1" applyFill="1" applyBorder="1" applyAlignment="1">
      <alignment horizontal="left"/>
    </xf>
    <xf numFmtId="165" fontId="10" fillId="4" borderId="17" xfId="0" applyNumberFormat="1" applyFont="1" applyFill="1" applyBorder="1" applyAlignment="1">
      <alignment horizontal="center" vertical="center"/>
    </xf>
    <xf numFmtId="165" fontId="10" fillId="4" borderId="9" xfId="0" applyNumberFormat="1" applyFont="1" applyFill="1" applyBorder="1" applyAlignment="1"/>
    <xf numFmtId="165" fontId="10" fillId="4" borderId="18" xfId="0" applyNumberFormat="1" applyFont="1" applyFill="1" applyBorder="1" applyAlignment="1"/>
    <xf numFmtId="49" fontId="10" fillId="2" borderId="19" xfId="0" applyNumberFormat="1" applyFont="1" applyFill="1" applyBorder="1" applyAlignment="1"/>
    <xf numFmtId="49" fontId="10" fillId="2" borderId="4" xfId="0" applyNumberFormat="1" applyFont="1" applyFill="1" applyBorder="1" applyAlignment="1"/>
    <xf numFmtId="49" fontId="6" fillId="2" borderId="16" xfId="0" applyNumberFormat="1" applyFont="1" applyFill="1" applyBorder="1" applyAlignment="1"/>
    <xf numFmtId="49" fontId="10" fillId="4" borderId="20" xfId="0" applyNumberFormat="1" applyFont="1" applyFill="1" applyBorder="1" applyAlignment="1"/>
    <xf numFmtId="165" fontId="6" fillId="2" borderId="21" xfId="0" applyNumberFormat="1" applyFont="1" applyFill="1" applyBorder="1" applyAlignment="1"/>
    <xf numFmtId="49" fontId="4" fillId="2" borderId="4" xfId="0" applyNumberFormat="1" applyFont="1" applyFill="1" applyBorder="1" applyAlignment="1"/>
    <xf numFmtId="165" fontId="4" fillId="2" borderId="21" xfId="0" applyNumberFormat="1" applyFont="1" applyFill="1" applyBorder="1" applyAlignment="1"/>
    <xf numFmtId="165" fontId="7" fillId="2" borderId="16" xfId="0" applyNumberFormat="1" applyFont="1" applyFill="1" applyBorder="1" applyAlignment="1"/>
    <xf numFmtId="165" fontId="7" fillId="2" borderId="21" xfId="0" applyNumberFormat="1" applyFont="1" applyFill="1" applyBorder="1" applyAlignment="1"/>
    <xf numFmtId="165" fontId="11" fillId="2" borderId="4" xfId="0" applyNumberFormat="1" applyFont="1" applyFill="1" applyBorder="1" applyAlignment="1"/>
    <xf numFmtId="165" fontId="11" fillId="2" borderId="21" xfId="0" applyNumberFormat="1" applyFont="1" applyFill="1" applyBorder="1" applyAlignment="1"/>
    <xf numFmtId="165" fontId="0" fillId="2" borderId="16" xfId="0" applyNumberFormat="1" applyFont="1" applyFill="1" applyBorder="1" applyAlignment="1"/>
    <xf numFmtId="165" fontId="11" fillId="2" borderId="20" xfId="0" applyNumberFormat="1" applyFont="1" applyFill="1" applyBorder="1" applyAlignment="1"/>
    <xf numFmtId="49" fontId="10" fillId="4" borderId="22" xfId="0" applyNumberFormat="1" applyFont="1" applyFill="1" applyBorder="1" applyAlignment="1">
      <alignment wrapText="1"/>
    </xf>
    <xf numFmtId="165" fontId="4" fillId="2" borderId="0" xfId="0" applyNumberFormat="1" applyFont="1" applyFill="1" applyBorder="1" applyAlignment="1"/>
    <xf numFmtId="49" fontId="10" fillId="4" borderId="25" xfId="0" applyNumberFormat="1" applyFont="1" applyFill="1" applyBorder="1" applyAlignment="1">
      <alignment horizontal="center" vertical="center" wrapText="1"/>
    </xf>
    <xf numFmtId="15" fontId="10" fillId="4" borderId="26" xfId="0" applyNumberFormat="1" applyFont="1" applyFill="1" applyBorder="1" applyAlignment="1">
      <alignment horizontal="center"/>
    </xf>
    <xf numFmtId="49" fontId="10" fillId="4" borderId="27" xfId="0" applyNumberFormat="1" applyFont="1" applyFill="1" applyBorder="1" applyAlignment="1">
      <alignment horizontal="center"/>
    </xf>
    <xf numFmtId="165" fontId="6" fillId="2" borderId="28" xfId="0" applyNumberFormat="1" applyFont="1" applyFill="1" applyBorder="1" applyAlignment="1"/>
    <xf numFmtId="3" fontId="6" fillId="2" borderId="26" xfId="0" applyNumberFormat="1" applyFont="1" applyFill="1" applyBorder="1" applyAlignment="1"/>
    <xf numFmtId="3" fontId="6" fillId="2" borderId="29" xfId="0" applyNumberFormat="1" applyFont="1" applyFill="1" applyBorder="1" applyAlignment="1"/>
    <xf numFmtId="3" fontId="4" fillId="4" borderId="30" xfId="0" applyNumberFormat="1" applyFont="1" applyFill="1" applyBorder="1" applyAlignment="1"/>
    <xf numFmtId="3" fontId="6" fillId="2" borderId="31" xfId="0" applyNumberFormat="1" applyFont="1" applyFill="1" applyBorder="1" applyAlignment="1"/>
    <xf numFmtId="3" fontId="0" fillId="2" borderId="26" xfId="0" applyNumberFormat="1" applyFont="1" applyFill="1" applyBorder="1" applyAlignment="1"/>
    <xf numFmtId="3" fontId="0" fillId="2" borderId="29" xfId="0" applyNumberFormat="1" applyFont="1" applyFill="1" applyBorder="1" applyAlignment="1"/>
    <xf numFmtId="3" fontId="4" fillId="2" borderId="31" xfId="0" applyNumberFormat="1" applyFont="1" applyFill="1" applyBorder="1" applyAlignment="1"/>
    <xf numFmtId="3" fontId="0" fillId="2" borderId="31" xfId="0" applyNumberFormat="1" applyFont="1" applyFill="1" applyBorder="1" applyAlignment="1"/>
    <xf numFmtId="3" fontId="0" fillId="2" borderId="30" xfId="0" applyNumberFormat="1" applyFont="1" applyFill="1" applyBorder="1" applyAlignment="1"/>
    <xf numFmtId="3" fontId="4" fillId="3" borderId="32" xfId="0" applyNumberFormat="1" applyFont="1" applyFill="1" applyBorder="1" applyAlignment="1"/>
    <xf numFmtId="49" fontId="10" fillId="4" borderId="33" xfId="0" applyNumberFormat="1" applyFont="1" applyFill="1" applyBorder="1" applyAlignment="1">
      <alignment horizontal="center" vertical="center" wrapText="1"/>
    </xf>
    <xf numFmtId="15" fontId="10" fillId="4" borderId="0" xfId="0" applyNumberFormat="1" applyFont="1" applyFill="1" applyBorder="1" applyAlignment="1">
      <alignment horizontal="center"/>
    </xf>
    <xf numFmtId="49" fontId="10" fillId="4" borderId="7" xfId="0" applyNumberFormat="1" applyFont="1" applyFill="1" applyBorder="1" applyAlignment="1">
      <alignment horizontal="center"/>
    </xf>
    <xf numFmtId="165" fontId="6" fillId="2" borderId="33" xfId="0" applyNumberFormat="1" applyFont="1" applyFill="1" applyBorder="1" applyAlignment="1"/>
    <xf numFmtId="3" fontId="6" fillId="2" borderId="34" xfId="0" applyNumberFormat="1" applyFont="1" applyFill="1" applyBorder="1" applyAlignment="1"/>
    <xf numFmtId="3" fontId="4" fillId="4" borderId="35" xfId="0" applyNumberFormat="1" applyFont="1" applyFill="1" applyBorder="1" applyAlignment="1"/>
    <xf numFmtId="3" fontId="6" fillId="2" borderId="36" xfId="0" applyNumberFormat="1" applyFont="1" applyFill="1" applyBorder="1" applyAlignment="1"/>
    <xf numFmtId="3" fontId="0" fillId="2" borderId="34" xfId="0" applyNumberFormat="1" applyFont="1" applyFill="1" applyBorder="1" applyAlignment="1"/>
    <xf numFmtId="3" fontId="4" fillId="2" borderId="36" xfId="0" applyNumberFormat="1" applyFont="1" applyFill="1" applyBorder="1" applyAlignment="1"/>
    <xf numFmtId="3" fontId="0" fillId="2" borderId="36" xfId="0" applyNumberFormat="1" applyFont="1" applyFill="1" applyBorder="1" applyAlignment="1"/>
    <xf numFmtId="3" fontId="0" fillId="2" borderId="35" xfId="0" applyNumberFormat="1" applyFont="1" applyFill="1" applyBorder="1" applyAlignment="1"/>
    <xf numFmtId="3" fontId="4" fillId="3" borderId="37" xfId="0" applyNumberFormat="1" applyFont="1" applyFill="1" applyBorder="1" applyAlignment="1"/>
    <xf numFmtId="165" fontId="10" fillId="4" borderId="26" xfId="0" applyNumberFormat="1" applyFont="1" applyFill="1" applyBorder="1" applyAlignment="1">
      <alignment horizontal="center"/>
    </xf>
    <xf numFmtId="165" fontId="0" fillId="2" borderId="2" xfId="0" applyNumberFormat="1" applyFont="1" applyFill="1" applyBorder="1" applyAlignment="1">
      <alignment vertical="center"/>
    </xf>
    <xf numFmtId="165" fontId="0" fillId="2" borderId="3" xfId="0" applyNumberFormat="1" applyFont="1" applyFill="1" applyBorder="1" applyAlignment="1">
      <alignment vertical="center" wrapText="1"/>
    </xf>
    <xf numFmtId="165" fontId="0" fillId="2" borderId="4" xfId="0" applyNumberFormat="1" applyFont="1" applyFill="1" applyBorder="1" applyAlignment="1">
      <alignment vertical="center"/>
    </xf>
    <xf numFmtId="165" fontId="0" fillId="2" borderId="0" xfId="0" applyNumberFormat="1" applyFont="1" applyFill="1" applyBorder="1" applyAlignment="1">
      <alignment vertical="center"/>
    </xf>
    <xf numFmtId="165" fontId="0" fillId="2" borderId="5" xfId="0" applyNumberFormat="1" applyFont="1" applyFill="1" applyBorder="1" applyAlignment="1">
      <alignment vertical="center" wrapText="1"/>
    </xf>
    <xf numFmtId="165" fontId="3" fillId="2" borderId="0" xfId="0" applyNumberFormat="1" applyFont="1" applyFill="1" applyBorder="1" applyAlignment="1">
      <alignment horizontal="left" vertical="center"/>
    </xf>
    <xf numFmtId="10" fontId="0" fillId="2" borderId="0" xfId="0" applyNumberFormat="1" applyFont="1" applyFill="1" applyBorder="1" applyAlignment="1">
      <alignment vertical="center"/>
    </xf>
    <xf numFmtId="165" fontId="5" fillId="2" borderId="6" xfId="0" applyNumberFormat="1" applyFont="1" applyFill="1" applyBorder="1" applyAlignment="1">
      <alignment horizontal="center" vertical="center"/>
    </xf>
    <xf numFmtId="165" fontId="0" fillId="2" borderId="7" xfId="0" applyNumberFormat="1" applyFont="1" applyFill="1" applyBorder="1" applyAlignment="1">
      <alignment vertical="center"/>
    </xf>
    <xf numFmtId="165" fontId="0" fillId="2" borderId="38" xfId="0" applyNumberFormat="1" applyFont="1" applyFill="1" applyBorder="1" applyAlignment="1">
      <alignment vertical="center" wrapText="1"/>
    </xf>
    <xf numFmtId="167" fontId="4" fillId="2" borderId="45" xfId="0" applyNumberFormat="1" applyFont="1" applyFill="1" applyBorder="1" applyAlignment="1">
      <alignment vertical="center"/>
    </xf>
    <xf numFmtId="167" fontId="4" fillId="2" borderId="39" xfId="0" applyNumberFormat="1" applyFont="1" applyFill="1" applyBorder="1" applyAlignment="1">
      <alignment vertical="center"/>
    </xf>
    <xf numFmtId="165" fontId="0" fillId="2" borderId="8" xfId="0" applyNumberFormat="1" applyFont="1" applyFill="1" applyBorder="1" applyAlignment="1">
      <alignment vertical="center" wrapText="1"/>
    </xf>
    <xf numFmtId="168" fontId="0" fillId="2" borderId="46" xfId="0" applyNumberFormat="1" applyFont="1" applyFill="1" applyBorder="1" applyAlignment="1">
      <alignment vertical="center"/>
    </xf>
    <xf numFmtId="167" fontId="0" fillId="2" borderId="46" xfId="0" applyNumberFormat="1" applyFont="1" applyFill="1" applyBorder="1" applyAlignment="1">
      <alignment vertical="center"/>
    </xf>
    <xf numFmtId="165" fontId="0" fillId="2" borderId="10" xfId="0" applyNumberFormat="1" applyFont="1" applyFill="1" applyBorder="1" applyAlignment="1">
      <alignment vertical="center" wrapText="1"/>
    </xf>
    <xf numFmtId="49" fontId="0" fillId="2" borderId="10" xfId="0" applyNumberFormat="1" applyFont="1" applyFill="1" applyBorder="1" applyAlignment="1">
      <alignment vertical="center" wrapText="1"/>
    </xf>
    <xf numFmtId="167" fontId="0" fillId="2" borderId="43" xfId="0" applyNumberFormat="1" applyFont="1" applyFill="1" applyBorder="1" applyAlignment="1">
      <alignment vertical="center"/>
    </xf>
    <xf numFmtId="167" fontId="0" fillId="2" borderId="10" xfId="0" applyNumberFormat="1" applyFont="1" applyFill="1" applyBorder="1" applyAlignment="1">
      <alignment vertical="center" wrapText="1"/>
    </xf>
    <xf numFmtId="167" fontId="0" fillId="2" borderId="39" xfId="0" applyNumberFormat="1" applyFont="1" applyFill="1" applyBorder="1" applyAlignment="1">
      <alignment vertical="center"/>
    </xf>
    <xf numFmtId="167" fontId="4" fillId="2" borderId="43" xfId="0" applyNumberFormat="1" applyFont="1" applyFill="1" applyBorder="1" applyAlignment="1">
      <alignment vertical="center"/>
    </xf>
    <xf numFmtId="49" fontId="0" fillId="2" borderId="12" xfId="0" applyNumberFormat="1" applyFont="1" applyFill="1" applyBorder="1" applyAlignment="1">
      <alignment vertical="center" wrapText="1"/>
    </xf>
    <xf numFmtId="49" fontId="0" fillId="2" borderId="13" xfId="0" applyNumberFormat="1" applyFont="1" applyFill="1" applyBorder="1" applyAlignment="1">
      <alignment vertical="center" wrapText="1"/>
    </xf>
    <xf numFmtId="49" fontId="0" fillId="2" borderId="14" xfId="0" applyNumberFormat="1" applyFont="1" applyFill="1" applyBorder="1" applyAlignment="1">
      <alignment vertical="center" wrapText="1"/>
    </xf>
    <xf numFmtId="167" fontId="0" fillId="2" borderId="14" xfId="0" applyNumberFormat="1" applyFont="1" applyFill="1" applyBorder="1" applyAlignment="1">
      <alignment vertical="center" wrapText="1"/>
    </xf>
    <xf numFmtId="167" fontId="4" fillId="2" borderId="46" xfId="0" applyNumberFormat="1" applyFont="1" applyFill="1" applyBorder="1" applyAlignment="1">
      <alignment vertical="center"/>
    </xf>
    <xf numFmtId="49" fontId="6" fillId="2" borderId="10" xfId="0" applyNumberFormat="1" applyFont="1" applyFill="1" applyBorder="1" applyAlignment="1">
      <alignment horizontal="justify" vertical="center" wrapText="1"/>
    </xf>
    <xf numFmtId="49" fontId="6" fillId="2" borderId="12" xfId="0" applyNumberFormat="1" applyFont="1" applyFill="1" applyBorder="1" applyAlignment="1">
      <alignment horizontal="justify" vertical="center" wrapText="1"/>
    </xf>
    <xf numFmtId="49" fontId="6" fillId="2" borderId="14" xfId="0" applyNumberFormat="1" applyFont="1" applyFill="1" applyBorder="1" applyAlignment="1">
      <alignment horizontal="justify" vertical="center" wrapText="1"/>
    </xf>
    <xf numFmtId="167" fontId="4" fillId="2" borderId="47" xfId="0" applyNumberFormat="1" applyFont="1" applyFill="1" applyBorder="1" applyAlignment="1">
      <alignment vertical="center"/>
    </xf>
    <xf numFmtId="167" fontId="0" fillId="2" borderId="47" xfId="0" applyNumberFormat="1" applyFont="1" applyFill="1" applyBorder="1" applyAlignment="1">
      <alignment vertical="center"/>
    </xf>
    <xf numFmtId="165" fontId="0" fillId="2" borderId="39" xfId="0" applyNumberFormat="1" applyFont="1" applyFill="1" applyBorder="1" applyAlignment="1">
      <alignment vertical="center"/>
    </xf>
    <xf numFmtId="166" fontId="0" fillId="2" borderId="39" xfId="0" applyNumberFormat="1" applyFont="1" applyFill="1" applyBorder="1" applyAlignment="1">
      <alignment vertical="center"/>
    </xf>
    <xf numFmtId="165" fontId="0" fillId="2" borderId="43" xfId="0" applyNumberFormat="1" applyFont="1" applyFill="1" applyBorder="1" applyAlignment="1">
      <alignment vertical="center"/>
    </xf>
    <xf numFmtId="167" fontId="0" fillId="2" borderId="11" xfId="0" applyNumberFormat="1" applyFont="1" applyFill="1" applyBorder="1" applyAlignment="1">
      <alignment vertical="center" wrapText="1"/>
    </xf>
    <xf numFmtId="165" fontId="16" fillId="2" borderId="0" xfId="0" applyNumberFormat="1" applyFont="1" applyFill="1" applyBorder="1" applyAlignment="1">
      <alignment vertical="center"/>
    </xf>
    <xf numFmtId="165" fontId="9" fillId="2" borderId="0" xfId="0" applyNumberFormat="1" applyFont="1" applyFill="1" applyBorder="1" applyAlignment="1">
      <alignment vertical="center"/>
    </xf>
    <xf numFmtId="165" fontId="9" fillId="2" borderId="5" xfId="0" applyNumberFormat="1" applyFont="1" applyFill="1" applyBorder="1" applyAlignment="1">
      <alignment vertical="center" wrapText="1"/>
    </xf>
    <xf numFmtId="0" fontId="9" fillId="0" borderId="0" xfId="0" applyFont="1"/>
    <xf numFmtId="165" fontId="17" fillId="2" borderId="0" xfId="0" applyNumberFormat="1" applyFont="1" applyFill="1" applyBorder="1" applyAlignment="1">
      <alignment horizontal="left" vertical="center"/>
    </xf>
    <xf numFmtId="165" fontId="8" fillId="2" borderId="0" xfId="0" applyNumberFormat="1" applyFont="1" applyFill="1" applyBorder="1" applyAlignment="1">
      <alignment vertical="center"/>
    </xf>
    <xf numFmtId="10" fontId="8" fillId="2" borderId="0" xfId="0" applyNumberFormat="1" applyFont="1" applyFill="1" applyBorder="1" applyAlignment="1">
      <alignment vertical="center"/>
    </xf>
    <xf numFmtId="49" fontId="10" fillId="4" borderId="39" xfId="0" applyNumberFormat="1" applyFont="1" applyFill="1" applyBorder="1" applyAlignment="1">
      <alignment horizontal="center" vertical="center"/>
    </xf>
    <xf numFmtId="49" fontId="10" fillId="4" borderId="41" xfId="0" applyNumberFormat="1" applyFont="1" applyFill="1" applyBorder="1" applyAlignment="1">
      <alignment horizontal="center" vertical="center"/>
    </xf>
    <xf numFmtId="49" fontId="10" fillId="4" borderId="42" xfId="0" applyNumberFormat="1" applyFont="1" applyFill="1" applyBorder="1" applyAlignment="1">
      <alignment horizontal="center" vertical="center"/>
    </xf>
    <xf numFmtId="49" fontId="10" fillId="4" borderId="43" xfId="0" applyNumberFormat="1" applyFont="1" applyFill="1" applyBorder="1" applyAlignment="1">
      <alignment horizontal="center" vertical="center"/>
    </xf>
    <xf numFmtId="49" fontId="10" fillId="4" borderId="44" xfId="0" applyNumberFormat="1" applyFont="1" applyFill="1" applyBorder="1" applyAlignment="1">
      <alignment horizontal="center" vertical="center"/>
    </xf>
    <xf numFmtId="167" fontId="4" fillId="4" borderId="47" xfId="0" applyNumberFormat="1" applyFont="1" applyFill="1" applyBorder="1" applyAlignment="1">
      <alignment vertical="center"/>
    </xf>
    <xf numFmtId="167" fontId="10" fillId="4" borderId="47" xfId="0" applyNumberFormat="1" applyFont="1" applyFill="1" applyBorder="1" applyAlignment="1">
      <alignment vertical="center"/>
    </xf>
    <xf numFmtId="165" fontId="0" fillId="3" borderId="0" xfId="0" applyNumberFormat="1" applyFont="1" applyFill="1" applyBorder="1" applyAlignment="1">
      <alignment vertical="center"/>
    </xf>
    <xf numFmtId="165" fontId="2" fillId="5" borderId="2" xfId="0" applyNumberFormat="1" applyFont="1" applyFill="1" applyBorder="1" applyAlignment="1">
      <alignment vertical="center"/>
    </xf>
    <xf numFmtId="165" fontId="2" fillId="5" borderId="2" xfId="0" applyNumberFormat="1" applyFont="1" applyFill="1" applyBorder="1" applyAlignment="1">
      <alignment horizontal="center" vertical="center"/>
    </xf>
    <xf numFmtId="165" fontId="0" fillId="5" borderId="2" xfId="0" applyNumberFormat="1" applyFont="1" applyFill="1" applyBorder="1" applyAlignment="1">
      <alignment vertical="center"/>
    </xf>
    <xf numFmtId="165" fontId="2" fillId="5" borderId="0" xfId="0" applyNumberFormat="1" applyFont="1" applyFill="1" applyBorder="1" applyAlignment="1">
      <alignment vertical="center"/>
    </xf>
    <xf numFmtId="165" fontId="2" fillId="5" borderId="0" xfId="0" applyNumberFormat="1" applyFont="1" applyFill="1" applyBorder="1" applyAlignment="1">
      <alignment horizontal="center" vertical="center"/>
    </xf>
    <xf numFmtId="165" fontId="0" fillId="5" borderId="0" xfId="0" applyNumberFormat="1" applyFont="1" applyFill="1" applyBorder="1" applyAlignment="1">
      <alignment vertical="center"/>
    </xf>
    <xf numFmtId="165" fontId="16" fillId="5" borderId="0" xfId="0" applyNumberFormat="1" applyFont="1" applyFill="1" applyBorder="1" applyAlignment="1">
      <alignment vertical="center"/>
    </xf>
    <xf numFmtId="49" fontId="16" fillId="5" borderId="0" xfId="0" applyNumberFormat="1" applyFont="1" applyFill="1" applyBorder="1" applyAlignment="1">
      <alignment horizontal="center" vertical="center"/>
    </xf>
    <xf numFmtId="165" fontId="9" fillId="5" borderId="0" xfId="0" applyNumberFormat="1" applyFont="1" applyFill="1" applyBorder="1" applyAlignment="1">
      <alignment vertical="center"/>
    </xf>
    <xf numFmtId="165" fontId="3" fillId="5" borderId="0" xfId="0" applyNumberFormat="1" applyFont="1" applyFill="1" applyBorder="1" applyAlignment="1">
      <alignment horizontal="left" vertical="center"/>
    </xf>
    <xf numFmtId="165" fontId="3" fillId="5" borderId="0" xfId="0" applyNumberFormat="1" applyFont="1" applyFill="1" applyBorder="1" applyAlignment="1">
      <alignment vertical="center"/>
    </xf>
    <xf numFmtId="165" fontId="17" fillId="5" borderId="0" xfId="0" applyNumberFormat="1" applyFont="1" applyFill="1" applyBorder="1" applyAlignment="1">
      <alignment horizontal="left" vertical="center"/>
    </xf>
    <xf numFmtId="165" fontId="17" fillId="5" borderId="0" xfId="0" applyNumberFormat="1" applyFont="1" applyFill="1" applyBorder="1" applyAlignment="1">
      <alignment vertical="center"/>
    </xf>
    <xf numFmtId="165" fontId="0" fillId="5" borderId="4" xfId="0" applyNumberFormat="1" applyFont="1" applyFill="1" applyBorder="1" applyAlignment="1">
      <alignment vertical="center"/>
    </xf>
    <xf numFmtId="165" fontId="1" fillId="5" borderId="0" xfId="0" applyNumberFormat="1" applyFont="1" applyFill="1" applyBorder="1" applyAlignment="1">
      <alignment vertical="center"/>
    </xf>
    <xf numFmtId="49" fontId="2" fillId="5" borderId="0" xfId="0" applyNumberFormat="1" applyFont="1" applyFill="1" applyBorder="1" applyAlignment="1">
      <alignment vertical="center"/>
    </xf>
    <xf numFmtId="49" fontId="16" fillId="5" borderId="0" xfId="0" applyNumberFormat="1" applyFont="1" applyFill="1" applyBorder="1" applyAlignment="1">
      <alignment vertical="center"/>
    </xf>
    <xf numFmtId="167" fontId="0" fillId="5" borderId="39" xfId="0" applyNumberFormat="1" applyFont="1" applyFill="1" applyBorder="1" applyAlignment="1">
      <alignment vertical="center"/>
    </xf>
    <xf numFmtId="167" fontId="0" fillId="5" borderId="46" xfId="0" applyNumberFormat="1" applyFont="1" applyFill="1" applyBorder="1" applyAlignment="1">
      <alignment vertical="center"/>
    </xf>
    <xf numFmtId="167" fontId="4" fillId="5" borderId="43" xfId="0" applyNumberFormat="1" applyFont="1" applyFill="1" applyBorder="1" applyAlignment="1">
      <alignment vertical="center"/>
    </xf>
    <xf numFmtId="167" fontId="4" fillId="5" borderId="39" xfId="0" applyNumberFormat="1" applyFont="1" applyFill="1" applyBorder="1" applyAlignment="1">
      <alignment vertical="center"/>
    </xf>
    <xf numFmtId="167" fontId="0" fillId="5" borderId="43" xfId="0" applyNumberFormat="1" applyFont="1" applyFill="1" applyBorder="1" applyAlignment="1">
      <alignment vertical="center"/>
    </xf>
    <xf numFmtId="167" fontId="4" fillId="5" borderId="46" xfId="0" applyNumberFormat="1" applyFont="1" applyFill="1" applyBorder="1" applyAlignment="1">
      <alignment vertical="center"/>
    </xf>
    <xf numFmtId="168" fontId="0" fillId="5" borderId="46" xfId="0" applyNumberFormat="1" applyFont="1" applyFill="1" applyBorder="1" applyAlignment="1">
      <alignment vertical="center"/>
    </xf>
    <xf numFmtId="167" fontId="4" fillId="5" borderId="47" xfId="0" applyNumberFormat="1" applyFont="1" applyFill="1" applyBorder="1" applyAlignment="1">
      <alignment vertical="center"/>
    </xf>
    <xf numFmtId="165" fontId="0" fillId="5" borderId="39" xfId="0" applyNumberFormat="1" applyFont="1" applyFill="1" applyBorder="1" applyAlignment="1">
      <alignment vertical="center"/>
    </xf>
    <xf numFmtId="166" fontId="0" fillId="5" borderId="39" xfId="0" applyNumberFormat="1" applyFont="1" applyFill="1" applyBorder="1" applyAlignment="1">
      <alignment vertical="center"/>
    </xf>
    <xf numFmtId="165" fontId="0" fillId="5" borderId="43" xfId="0" applyNumberFormat="1" applyFont="1" applyFill="1" applyBorder="1" applyAlignment="1">
      <alignment vertical="center"/>
    </xf>
    <xf numFmtId="165" fontId="10" fillId="4" borderId="17" xfId="0" applyNumberFormat="1" applyFont="1" applyFill="1" applyBorder="1" applyAlignment="1">
      <alignment vertical="center"/>
    </xf>
    <xf numFmtId="49" fontId="10" fillId="4" borderId="9" xfId="0" applyNumberFormat="1" applyFont="1" applyFill="1" applyBorder="1" applyAlignment="1">
      <alignment vertical="center"/>
    </xf>
    <xf numFmtId="165" fontId="9" fillId="4" borderId="18" xfId="0" applyNumberFormat="1" applyFont="1" applyFill="1" applyBorder="1" applyAlignment="1">
      <alignment vertical="center"/>
    </xf>
    <xf numFmtId="49" fontId="10" fillId="2" borderId="19" xfId="0" applyNumberFormat="1" applyFont="1" applyFill="1" applyBorder="1" applyAlignment="1">
      <alignment vertical="center"/>
    </xf>
    <xf numFmtId="49" fontId="14" fillId="2" borderId="4" xfId="0" applyNumberFormat="1" applyFont="1" applyFill="1" applyBorder="1" applyAlignment="1">
      <alignment vertical="center"/>
    </xf>
    <xf numFmtId="49" fontId="0" fillId="2" borderId="4" xfId="0" applyNumberFormat="1" applyFont="1" applyFill="1" applyBorder="1" applyAlignment="1">
      <alignment vertical="center"/>
    </xf>
    <xf numFmtId="49" fontId="10" fillId="4" borderId="20" xfId="0" applyNumberFormat="1" applyFont="1" applyFill="1" applyBorder="1" applyAlignment="1">
      <alignment vertical="center"/>
    </xf>
    <xf numFmtId="165" fontId="4" fillId="2" borderId="21" xfId="0" applyNumberFormat="1" applyFont="1" applyFill="1" applyBorder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165" fontId="5" fillId="2" borderId="16" xfId="0" applyNumberFormat="1" applyFont="1" applyFill="1" applyBorder="1" applyAlignment="1">
      <alignment vertical="center"/>
    </xf>
    <xf numFmtId="165" fontId="0" fillId="2" borderId="21" xfId="0" applyNumberFormat="1" applyFont="1" applyFill="1" applyBorder="1" applyAlignment="1">
      <alignment vertical="center"/>
    </xf>
    <xf numFmtId="165" fontId="10" fillId="2" borderId="4" xfId="0" applyNumberFormat="1" applyFont="1" applyFill="1" applyBorder="1" applyAlignment="1">
      <alignment vertical="center"/>
    </xf>
    <xf numFmtId="49" fontId="0" fillId="2" borderId="16" xfId="0" applyNumberFormat="1" applyFont="1" applyFill="1" applyBorder="1" applyAlignment="1">
      <alignment vertical="center"/>
    </xf>
    <xf numFmtId="49" fontId="15" fillId="2" borderId="4" xfId="0" applyNumberFormat="1" applyFont="1" applyFill="1" applyBorder="1" applyAlignment="1">
      <alignment vertical="center"/>
    </xf>
    <xf numFmtId="165" fontId="5" fillId="2" borderId="20" xfId="0" applyNumberFormat="1" applyFont="1" applyFill="1" applyBorder="1" applyAlignment="1">
      <alignment vertical="center"/>
    </xf>
    <xf numFmtId="165" fontId="7" fillId="2" borderId="20" xfId="0" applyNumberFormat="1" applyFont="1" applyFill="1" applyBorder="1" applyAlignment="1">
      <alignment vertical="center"/>
    </xf>
    <xf numFmtId="165" fontId="7" fillId="2" borderId="21" xfId="0" applyNumberFormat="1" applyFont="1" applyFill="1" applyBorder="1" applyAlignment="1">
      <alignment vertical="center"/>
    </xf>
    <xf numFmtId="49" fontId="10" fillId="4" borderId="22" xfId="0" applyNumberFormat="1" applyFont="1" applyFill="1" applyBorder="1" applyAlignment="1">
      <alignment vertical="center"/>
    </xf>
    <xf numFmtId="165" fontId="13" fillId="3" borderId="23" xfId="0" applyNumberFormat="1" applyFont="1" applyFill="1" applyBorder="1" applyAlignment="1">
      <alignment horizontal="center" vertical="center" wrapText="1"/>
    </xf>
    <xf numFmtId="167" fontId="5" fillId="3" borderId="15" xfId="0" applyNumberFormat="1" applyFont="1" applyFill="1" applyBorder="1" applyAlignment="1">
      <alignment horizontal="center" vertical="center"/>
    </xf>
    <xf numFmtId="15" fontId="5" fillId="3" borderId="15" xfId="0" applyNumberFormat="1" applyFont="1" applyFill="1" applyBorder="1" applyAlignment="1">
      <alignment horizontal="center" vertical="center"/>
    </xf>
    <xf numFmtId="167" fontId="4" fillId="3" borderId="15" xfId="0" applyNumberFormat="1" applyFont="1" applyFill="1" applyBorder="1" applyAlignment="1">
      <alignment vertical="center"/>
    </xf>
    <xf numFmtId="167" fontId="0" fillId="3" borderId="15" xfId="0" applyNumberFormat="1" applyFont="1" applyFill="1" applyBorder="1" applyAlignment="1">
      <alignment vertical="center"/>
    </xf>
    <xf numFmtId="9" fontId="0" fillId="3" borderId="15" xfId="0" applyNumberFormat="1" applyFont="1" applyFill="1" applyBorder="1" applyAlignment="1">
      <alignment vertical="center"/>
    </xf>
    <xf numFmtId="9" fontId="4" fillId="3" borderId="15" xfId="0" applyNumberFormat="1" applyFont="1" applyFill="1" applyBorder="1" applyAlignment="1">
      <alignment vertical="center"/>
    </xf>
    <xf numFmtId="9" fontId="6" fillId="3" borderId="15" xfId="0" applyNumberFormat="1" applyFont="1" applyFill="1" applyBorder="1" applyAlignment="1">
      <alignment horizontal="right" vertical="center"/>
    </xf>
    <xf numFmtId="165" fontId="0" fillId="3" borderId="15" xfId="0" applyNumberFormat="1" applyFont="1" applyFill="1" applyBorder="1" applyAlignment="1">
      <alignment vertical="center"/>
    </xf>
    <xf numFmtId="9" fontId="4" fillId="3" borderId="24" xfId="0" applyNumberFormat="1" applyFont="1" applyFill="1" applyBorder="1" applyAlignment="1">
      <alignment vertical="center"/>
    </xf>
    <xf numFmtId="165" fontId="12" fillId="2" borderId="0" xfId="0" applyNumberFormat="1" applyFont="1" applyFill="1" applyBorder="1" applyAlignment="1">
      <alignment vertical="center"/>
    </xf>
    <xf numFmtId="49" fontId="10" fillId="4" borderId="51" xfId="0" applyNumberFormat="1" applyFont="1" applyFill="1" applyBorder="1" applyAlignment="1">
      <alignment horizontal="center" vertical="center"/>
    </xf>
    <xf numFmtId="49" fontId="10" fillId="4" borderId="53" xfId="0" applyNumberFormat="1" applyFont="1" applyFill="1" applyBorder="1" applyAlignment="1">
      <alignment horizontal="center" vertical="center"/>
    </xf>
    <xf numFmtId="49" fontId="10" fillId="4" borderId="54" xfId="0" applyNumberFormat="1" applyFont="1" applyFill="1" applyBorder="1" applyAlignment="1">
      <alignment horizontal="center" vertical="center"/>
    </xf>
    <xf numFmtId="167" fontId="4" fillId="2" borderId="55" xfId="0" applyNumberFormat="1" applyFont="1" applyFill="1" applyBorder="1" applyAlignment="1">
      <alignment vertical="center"/>
    </xf>
    <xf numFmtId="167" fontId="4" fillId="2" borderId="56" xfId="0" applyNumberFormat="1" applyFont="1" applyFill="1" applyBorder="1" applyAlignment="1">
      <alignment vertical="center"/>
    </xf>
    <xf numFmtId="168" fontId="0" fillId="2" borderId="57" xfId="0" applyNumberFormat="1" applyFont="1" applyFill="1" applyBorder="1" applyAlignment="1">
      <alignment vertical="center"/>
    </xf>
    <xf numFmtId="9" fontId="6" fillId="2" borderId="58" xfId="0" applyNumberFormat="1" applyFont="1" applyFill="1" applyBorder="1" applyAlignment="1">
      <alignment horizontal="right" vertical="center"/>
    </xf>
    <xf numFmtId="49" fontId="6" fillId="2" borderId="58" xfId="0" applyNumberFormat="1" applyFont="1" applyFill="1" applyBorder="1" applyAlignment="1">
      <alignment horizontal="right" vertical="center"/>
    </xf>
    <xf numFmtId="167" fontId="10" fillId="4" borderId="61" xfId="0" applyNumberFormat="1" applyFont="1" applyFill="1" applyBorder="1" applyAlignment="1">
      <alignment vertical="center"/>
    </xf>
    <xf numFmtId="9" fontId="11" fillId="4" borderId="62" xfId="0" applyNumberFormat="1" applyFont="1" applyFill="1" applyBorder="1" applyAlignment="1">
      <alignment horizontal="right" vertical="center"/>
    </xf>
    <xf numFmtId="167" fontId="0" fillId="2" borderId="51" xfId="0" applyNumberFormat="1" applyFont="1" applyFill="1" applyBorder="1" applyAlignment="1">
      <alignment vertical="center"/>
    </xf>
    <xf numFmtId="167" fontId="0" fillId="2" borderId="63" xfId="0" applyNumberFormat="1" applyFont="1" applyFill="1" applyBorder="1" applyAlignment="1">
      <alignment vertical="center"/>
    </xf>
    <xf numFmtId="167" fontId="0" fillId="2" borderId="57" xfId="0" applyNumberFormat="1" applyFont="1" applyFill="1" applyBorder="1" applyAlignment="1">
      <alignment vertical="center"/>
    </xf>
    <xf numFmtId="167" fontId="4" fillId="2" borderId="59" xfId="0" applyNumberFormat="1" applyFont="1" applyFill="1" applyBorder="1" applyAlignment="1">
      <alignment vertical="center"/>
    </xf>
    <xf numFmtId="167" fontId="4" fillId="2" borderId="60" xfId="0" applyNumberFormat="1" applyFont="1" applyFill="1" applyBorder="1" applyAlignment="1">
      <alignment vertical="center"/>
    </xf>
    <xf numFmtId="167" fontId="4" fillId="2" borderId="51" xfId="0" applyNumberFormat="1" applyFont="1" applyFill="1" applyBorder="1" applyAlignment="1">
      <alignment vertical="center"/>
    </xf>
    <xf numFmtId="167" fontId="4" fillId="2" borderId="63" xfId="0" applyNumberFormat="1" applyFont="1" applyFill="1" applyBorder="1" applyAlignment="1">
      <alignment vertical="center"/>
    </xf>
    <xf numFmtId="167" fontId="0" fillId="2" borderId="58" xfId="0" applyNumberFormat="1" applyFont="1" applyFill="1" applyBorder="1" applyAlignment="1">
      <alignment vertical="center"/>
    </xf>
    <xf numFmtId="167" fontId="0" fillId="2" borderId="59" xfId="0" applyNumberFormat="1" applyFont="1" applyFill="1" applyBorder="1" applyAlignment="1">
      <alignment vertical="center"/>
    </xf>
    <xf numFmtId="9" fontId="6" fillId="2" borderId="60" xfId="0" applyNumberFormat="1" applyFont="1" applyFill="1" applyBorder="1" applyAlignment="1">
      <alignment horizontal="right" vertical="center"/>
    </xf>
    <xf numFmtId="167" fontId="4" fillId="2" borderId="57" xfId="0" applyNumberFormat="1" applyFont="1" applyFill="1" applyBorder="1" applyAlignment="1">
      <alignment vertical="center"/>
    </xf>
    <xf numFmtId="167" fontId="4" fillId="2" borderId="58" xfId="0" applyNumberFormat="1" applyFont="1" applyFill="1" applyBorder="1" applyAlignment="1">
      <alignment vertical="center"/>
    </xf>
    <xf numFmtId="167" fontId="4" fillId="2" borderId="61" xfId="0" applyNumberFormat="1" applyFont="1" applyFill="1" applyBorder="1" applyAlignment="1">
      <alignment vertical="center"/>
    </xf>
    <xf numFmtId="167" fontId="4" fillId="2" borderId="62" xfId="0" applyNumberFormat="1" applyFont="1" applyFill="1" applyBorder="1" applyAlignment="1">
      <alignment vertical="center"/>
    </xf>
    <xf numFmtId="165" fontId="0" fillId="2" borderId="51" xfId="0" applyNumberFormat="1" applyFont="1" applyFill="1" applyBorder="1" applyAlignment="1">
      <alignment vertical="center"/>
    </xf>
    <xf numFmtId="165" fontId="0" fillId="2" borderId="63" xfId="0" applyNumberFormat="1" applyFont="1" applyFill="1" applyBorder="1" applyAlignment="1">
      <alignment vertical="center"/>
    </xf>
    <xf numFmtId="165" fontId="0" fillId="2" borderId="59" xfId="0" applyNumberFormat="1" applyFont="1" applyFill="1" applyBorder="1" applyAlignment="1">
      <alignment vertical="center"/>
    </xf>
    <xf numFmtId="165" fontId="0" fillId="2" borderId="60" xfId="0" applyNumberFormat="1" applyFont="1" applyFill="1" applyBorder="1" applyAlignment="1">
      <alignment vertical="center"/>
    </xf>
    <xf numFmtId="167" fontId="10" fillId="4" borderId="64" xfId="0" applyNumberFormat="1" applyFont="1" applyFill="1" applyBorder="1" applyAlignment="1">
      <alignment vertical="center"/>
    </xf>
    <xf numFmtId="167" fontId="10" fillId="4" borderId="65" xfId="0" applyNumberFormat="1" applyFont="1" applyFill="1" applyBorder="1" applyAlignment="1">
      <alignment vertical="center"/>
    </xf>
    <xf numFmtId="9" fontId="11" fillId="4" borderId="66" xfId="0" applyNumberFormat="1" applyFont="1" applyFill="1" applyBorder="1" applyAlignment="1">
      <alignment horizontal="right" vertical="center"/>
    </xf>
    <xf numFmtId="165" fontId="13" fillId="3" borderId="33" xfId="0" applyNumberFormat="1" applyFont="1" applyFill="1" applyBorder="1" applyAlignment="1">
      <alignment horizontal="center" vertical="center" wrapText="1"/>
    </xf>
    <xf numFmtId="167" fontId="5" fillId="3" borderId="0" xfId="0" applyNumberFormat="1" applyFont="1" applyFill="1" applyBorder="1" applyAlignment="1">
      <alignment horizontal="center" vertical="center"/>
    </xf>
    <xf numFmtId="15" fontId="5" fillId="3" borderId="0" xfId="0" applyNumberFormat="1" applyFont="1" applyFill="1" applyBorder="1" applyAlignment="1">
      <alignment horizontal="center" vertical="center"/>
    </xf>
    <xf numFmtId="167" fontId="4" fillId="3" borderId="0" xfId="0" applyNumberFormat="1" applyFont="1" applyFill="1" applyBorder="1" applyAlignment="1">
      <alignment vertical="center"/>
    </xf>
    <xf numFmtId="167" fontId="0" fillId="3" borderId="0" xfId="0" applyNumberFormat="1" applyFont="1" applyFill="1" applyBorder="1" applyAlignment="1">
      <alignment vertical="center"/>
    </xf>
    <xf numFmtId="9" fontId="0" fillId="3" borderId="0" xfId="0" applyNumberFormat="1" applyFont="1" applyFill="1" applyBorder="1" applyAlignment="1">
      <alignment vertical="center"/>
    </xf>
    <xf numFmtId="9" fontId="4" fillId="3" borderId="0" xfId="0" applyNumberFormat="1" applyFont="1" applyFill="1" applyBorder="1" applyAlignment="1">
      <alignment vertical="center"/>
    </xf>
    <xf numFmtId="9" fontId="6" fillId="3" borderId="0" xfId="0" applyNumberFormat="1" applyFont="1" applyFill="1" applyBorder="1" applyAlignment="1">
      <alignment horizontal="right" vertical="center"/>
    </xf>
    <xf numFmtId="9" fontId="4" fillId="3" borderId="7" xfId="0" applyNumberFormat="1" applyFont="1" applyFill="1" applyBorder="1" applyAlignment="1">
      <alignment vertical="center"/>
    </xf>
    <xf numFmtId="49" fontId="10" fillId="4" borderId="59" xfId="0" applyNumberFormat="1" applyFont="1" applyFill="1" applyBorder="1" applyAlignment="1">
      <alignment horizontal="center" vertical="center"/>
    </xf>
    <xf numFmtId="49" fontId="10" fillId="4" borderId="67" xfId="0" applyNumberFormat="1" applyFont="1" applyFill="1" applyBorder="1" applyAlignment="1">
      <alignment horizontal="center" vertical="center"/>
    </xf>
    <xf numFmtId="167" fontId="0" fillId="5" borderId="51" xfId="0" applyNumberFormat="1" applyFont="1" applyFill="1" applyBorder="1" applyAlignment="1">
      <alignment vertical="center"/>
    </xf>
    <xf numFmtId="9" fontId="0" fillId="5" borderId="63" xfId="0" applyNumberFormat="1" applyFont="1" applyFill="1" applyBorder="1" applyAlignment="1">
      <alignment vertical="center"/>
    </xf>
    <xf numFmtId="167" fontId="0" fillId="5" borderId="57" xfId="0" applyNumberFormat="1" applyFont="1" applyFill="1" applyBorder="1" applyAlignment="1">
      <alignment vertical="center"/>
    </xf>
    <xf numFmtId="49" fontId="6" fillId="5" borderId="58" xfId="0" applyNumberFormat="1" applyFont="1" applyFill="1" applyBorder="1" applyAlignment="1">
      <alignment horizontal="right" vertical="center"/>
    </xf>
    <xf numFmtId="167" fontId="4" fillId="5" borderId="59" xfId="0" applyNumberFormat="1" applyFont="1" applyFill="1" applyBorder="1" applyAlignment="1">
      <alignment vertical="center"/>
    </xf>
    <xf numFmtId="9" fontId="0" fillId="5" borderId="60" xfId="0" applyNumberFormat="1" applyFont="1" applyFill="1" applyBorder="1" applyAlignment="1">
      <alignment vertical="center"/>
    </xf>
    <xf numFmtId="167" fontId="4" fillId="5" borderId="51" xfId="0" applyNumberFormat="1" applyFont="1" applyFill="1" applyBorder="1" applyAlignment="1">
      <alignment vertical="center"/>
    </xf>
    <xf numFmtId="167" fontId="4" fillId="5" borderId="63" xfId="0" applyNumberFormat="1" applyFont="1" applyFill="1" applyBorder="1" applyAlignment="1">
      <alignment vertical="center"/>
    </xf>
    <xf numFmtId="167" fontId="0" fillId="5" borderId="58" xfId="0" applyNumberFormat="1" applyFont="1" applyFill="1" applyBorder="1" applyAlignment="1">
      <alignment vertical="center"/>
    </xf>
    <xf numFmtId="9" fontId="6" fillId="5" borderId="58" xfId="0" applyNumberFormat="1" applyFont="1" applyFill="1" applyBorder="1" applyAlignment="1">
      <alignment horizontal="right" vertical="center"/>
    </xf>
    <xf numFmtId="167" fontId="0" fillId="5" borderId="59" xfId="0" applyNumberFormat="1" applyFont="1" applyFill="1" applyBorder="1" applyAlignment="1">
      <alignment vertical="center"/>
    </xf>
    <xf numFmtId="9" fontId="6" fillId="5" borderId="60" xfId="0" applyNumberFormat="1" applyFont="1" applyFill="1" applyBorder="1" applyAlignment="1">
      <alignment horizontal="right" vertical="center"/>
    </xf>
    <xf numFmtId="167" fontId="0" fillId="5" borderId="63" xfId="0" applyNumberFormat="1" applyFont="1" applyFill="1" applyBorder="1" applyAlignment="1">
      <alignment vertical="center"/>
    </xf>
    <xf numFmtId="167" fontId="4" fillId="5" borderId="57" xfId="0" applyNumberFormat="1" applyFont="1" applyFill="1" applyBorder="1" applyAlignment="1">
      <alignment vertical="center"/>
    </xf>
    <xf numFmtId="167" fontId="4" fillId="5" borderId="58" xfId="0" applyNumberFormat="1" applyFont="1" applyFill="1" applyBorder="1" applyAlignment="1">
      <alignment vertical="center"/>
    </xf>
    <xf numFmtId="168" fontId="0" fillId="5" borderId="57" xfId="0" applyNumberFormat="1" applyFont="1" applyFill="1" applyBorder="1" applyAlignment="1">
      <alignment vertical="center"/>
    </xf>
    <xf numFmtId="49" fontId="6" fillId="5" borderId="60" xfId="0" applyNumberFormat="1" applyFont="1" applyFill="1" applyBorder="1" applyAlignment="1">
      <alignment horizontal="right" vertical="center"/>
    </xf>
    <xf numFmtId="167" fontId="4" fillId="5" borderId="61" xfId="0" applyNumberFormat="1" applyFont="1" applyFill="1" applyBorder="1" applyAlignment="1">
      <alignment vertical="center"/>
    </xf>
    <xf numFmtId="167" fontId="4" fillId="5" borderId="62" xfId="0" applyNumberFormat="1" applyFont="1" applyFill="1" applyBorder="1" applyAlignment="1">
      <alignment vertical="center"/>
    </xf>
    <xf numFmtId="165" fontId="0" fillId="5" borderId="51" xfId="0" applyNumberFormat="1" applyFont="1" applyFill="1" applyBorder="1" applyAlignment="1">
      <alignment vertical="center"/>
    </xf>
    <xf numFmtId="165" fontId="0" fillId="5" borderId="63" xfId="0" applyNumberFormat="1" applyFont="1" applyFill="1" applyBorder="1" applyAlignment="1">
      <alignment vertical="center"/>
    </xf>
    <xf numFmtId="165" fontId="0" fillId="5" borderId="59" xfId="0" applyNumberFormat="1" applyFont="1" applyFill="1" applyBorder="1" applyAlignment="1">
      <alignment vertical="center"/>
    </xf>
    <xf numFmtId="165" fontId="0" fillId="5" borderId="60" xfId="0" applyNumberFormat="1" applyFont="1" applyFill="1" applyBorder="1" applyAlignment="1">
      <alignment vertical="center"/>
    </xf>
    <xf numFmtId="168" fontId="0" fillId="2" borderId="58" xfId="0" applyNumberFormat="1" applyFont="1" applyFill="1" applyBorder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9" fontId="10" fillId="4" borderId="62" xfId="0" applyNumberFormat="1" applyFont="1" applyFill="1" applyBorder="1" applyAlignment="1">
      <alignment horizontal="right" vertical="center"/>
    </xf>
    <xf numFmtId="49" fontId="6" fillId="5" borderId="63" xfId="0" applyNumberFormat="1" applyFont="1" applyFill="1" applyBorder="1" applyAlignment="1">
      <alignment horizontal="right" vertical="center"/>
    </xf>
    <xf numFmtId="9" fontId="6" fillId="5" borderId="62" xfId="0" applyNumberFormat="1" applyFont="1" applyFill="1" applyBorder="1" applyAlignment="1">
      <alignment horizontal="right" vertical="center"/>
    </xf>
    <xf numFmtId="9" fontId="0" fillId="2" borderId="63" xfId="0" applyNumberFormat="1" applyFont="1" applyFill="1" applyBorder="1" applyAlignment="1">
      <alignment vertical="center"/>
    </xf>
    <xf numFmtId="9" fontId="0" fillId="2" borderId="58" xfId="0" applyNumberFormat="1" applyFont="1" applyFill="1" applyBorder="1" applyAlignment="1">
      <alignment vertical="center"/>
    </xf>
    <xf numFmtId="167" fontId="0" fillId="2" borderId="61" xfId="0" applyNumberFormat="1" applyFont="1" applyFill="1" applyBorder="1" applyAlignment="1">
      <alignment vertical="center"/>
    </xf>
    <xf numFmtId="167" fontId="4" fillId="4" borderId="61" xfId="0" applyNumberFormat="1" applyFont="1" applyFill="1" applyBorder="1" applyAlignment="1">
      <alignment vertical="center"/>
    </xf>
    <xf numFmtId="9" fontId="6" fillId="4" borderId="62" xfId="0" applyNumberFormat="1" applyFont="1" applyFill="1" applyBorder="1" applyAlignment="1">
      <alignment horizontal="right" vertical="center"/>
    </xf>
    <xf numFmtId="167" fontId="4" fillId="4" borderId="64" xfId="0" applyNumberFormat="1" applyFont="1" applyFill="1" applyBorder="1" applyAlignment="1">
      <alignment vertical="center"/>
    </xf>
    <xf numFmtId="167" fontId="4" fillId="4" borderId="65" xfId="0" applyNumberFormat="1" applyFont="1" applyFill="1" applyBorder="1" applyAlignment="1">
      <alignment vertical="center"/>
    </xf>
    <xf numFmtId="9" fontId="6" fillId="4" borderId="66" xfId="0" applyNumberFormat="1" applyFont="1" applyFill="1" applyBorder="1" applyAlignment="1">
      <alignment horizontal="right" vertical="center"/>
    </xf>
    <xf numFmtId="49" fontId="10" fillId="4" borderId="51" xfId="0" applyNumberFormat="1" applyFont="1" applyFill="1" applyBorder="1" applyAlignment="1">
      <alignment horizontal="center" vertical="center" wrapText="1"/>
    </xf>
    <xf numFmtId="9" fontId="4" fillId="4" borderId="62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/>
    <xf numFmtId="167" fontId="0" fillId="2" borderId="68" xfId="0" applyNumberFormat="1" applyFont="1" applyFill="1" applyBorder="1" applyAlignment="1">
      <alignment vertical="center"/>
    </xf>
    <xf numFmtId="49" fontId="20" fillId="2" borderId="4" xfId="0" applyNumberFormat="1" applyFont="1" applyFill="1" applyBorder="1" applyAlignment="1">
      <alignment vertical="center"/>
    </xf>
    <xf numFmtId="49" fontId="6" fillId="2" borderId="60" xfId="0" applyNumberFormat="1" applyFont="1" applyFill="1" applyBorder="1" applyAlignment="1">
      <alignment horizontal="right" vertical="center"/>
    </xf>
    <xf numFmtId="165" fontId="0" fillId="2" borderId="16" xfId="0" applyNumberFormat="1" applyFont="1" applyFill="1" applyBorder="1" applyAlignment="1">
      <alignment vertical="center"/>
    </xf>
    <xf numFmtId="168" fontId="0" fillId="2" borderId="43" xfId="0" applyNumberFormat="1" applyFont="1" applyFill="1" applyBorder="1" applyAlignment="1">
      <alignment vertical="center"/>
    </xf>
    <xf numFmtId="168" fontId="0" fillId="2" borderId="59" xfId="0" applyNumberFormat="1" applyFont="1" applyFill="1" applyBorder="1" applyAlignment="1">
      <alignment vertical="center"/>
    </xf>
    <xf numFmtId="10" fontId="9" fillId="2" borderId="0" xfId="0" applyNumberFormat="1" applyFont="1" applyFill="1" applyBorder="1" applyAlignment="1">
      <alignment vertical="center"/>
    </xf>
    <xf numFmtId="49" fontId="8" fillId="5" borderId="0" xfId="0" applyNumberFormat="1" applyFont="1" applyFill="1" applyBorder="1" applyAlignment="1">
      <alignment vertical="center"/>
    </xf>
    <xf numFmtId="49" fontId="8" fillId="5" borderId="4" xfId="0" applyNumberFormat="1" applyFont="1" applyFill="1" applyBorder="1" applyAlignment="1">
      <alignment vertical="center"/>
    </xf>
    <xf numFmtId="15" fontId="8" fillId="5" borderId="0" xfId="0" applyNumberFormat="1" applyFont="1" applyFill="1" applyBorder="1" applyAlignment="1">
      <alignment vertical="center"/>
    </xf>
    <xf numFmtId="49" fontId="1" fillId="5" borderId="4" xfId="0" applyNumberFormat="1" applyFont="1" applyFill="1" applyBorder="1" applyAlignment="1">
      <alignment vertical="center"/>
    </xf>
    <xf numFmtId="49" fontId="1" fillId="5" borderId="0" xfId="0" applyNumberFormat="1" applyFont="1" applyFill="1" applyBorder="1" applyAlignment="1">
      <alignment vertical="center"/>
    </xf>
    <xf numFmtId="165" fontId="1" fillId="5" borderId="2" xfId="0" applyNumberFormat="1" applyFont="1" applyFill="1" applyBorder="1" applyAlignment="1">
      <alignment vertical="center"/>
    </xf>
    <xf numFmtId="49" fontId="1" fillId="5" borderId="1" xfId="0" applyNumberFormat="1" applyFont="1" applyFill="1" applyBorder="1" applyAlignment="1">
      <alignment vertical="center"/>
    </xf>
    <xf numFmtId="0" fontId="22" fillId="0" borderId="0" xfId="0" applyNumberFormat="1" applyFont="1" applyAlignment="1"/>
    <xf numFmtId="3" fontId="22" fillId="2" borderId="30" xfId="0" applyNumberFormat="1" applyFont="1" applyFill="1" applyBorder="1" applyAlignment="1"/>
    <xf numFmtId="3" fontId="22" fillId="2" borderId="29" xfId="0" applyNumberFormat="1" applyFont="1" applyFill="1" applyBorder="1" applyAlignment="1"/>
    <xf numFmtId="3" fontId="22" fillId="2" borderId="26" xfId="0" applyNumberFormat="1" applyFont="1" applyFill="1" applyBorder="1" applyAlignment="1"/>
    <xf numFmtId="3" fontId="22" fillId="2" borderId="31" xfId="0" applyNumberFormat="1" applyFont="1" applyFill="1" applyBorder="1" applyAlignment="1"/>
    <xf numFmtId="49" fontId="6" fillId="2" borderId="16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vertical="center"/>
    </xf>
    <xf numFmtId="0" fontId="23" fillId="0" borderId="0" xfId="0" applyFont="1" applyAlignment="1"/>
    <xf numFmtId="3" fontId="23" fillId="2" borderId="34" xfId="0" applyNumberFormat="1" applyFont="1" applyFill="1" applyBorder="1" applyAlignment="1"/>
    <xf numFmtId="3" fontId="24" fillId="2" borderId="0" xfId="0" applyNumberFormat="1" applyFont="1" applyFill="1" applyBorder="1" applyAlignment="1"/>
    <xf numFmtId="165" fontId="6" fillId="2" borderId="25" xfId="0" applyNumberFormat="1" applyFont="1" applyFill="1" applyBorder="1" applyAlignment="1"/>
    <xf numFmtId="49" fontId="10" fillId="4" borderId="26" xfId="0" applyNumberFormat="1" applyFont="1" applyFill="1" applyBorder="1" applyAlignment="1">
      <alignment horizontal="center"/>
    </xf>
    <xf numFmtId="0" fontId="0" fillId="0" borderId="0" xfId="0" applyFill="1"/>
    <xf numFmtId="49" fontId="0" fillId="0" borderId="10" xfId="0" applyNumberFormat="1" applyFont="1" applyFill="1" applyBorder="1" applyAlignment="1">
      <alignment vertical="center" wrapText="1"/>
    </xf>
    <xf numFmtId="9" fontId="6" fillId="0" borderId="15" xfId="0" applyNumberFormat="1" applyFont="1" applyFill="1" applyBorder="1" applyAlignment="1">
      <alignment horizontal="right" vertical="center"/>
    </xf>
    <xf numFmtId="9" fontId="6" fillId="0" borderId="58" xfId="0" applyNumberFormat="1" applyFont="1" applyFill="1" applyBorder="1" applyAlignment="1">
      <alignment horizontal="right" vertical="center"/>
    </xf>
    <xf numFmtId="167" fontId="0" fillId="0" borderId="46" xfId="0" applyNumberFormat="1" applyFont="1" applyFill="1" applyBorder="1" applyAlignment="1">
      <alignment vertical="center"/>
    </xf>
    <xf numFmtId="167" fontId="0" fillId="0" borderId="57" xfId="0" applyNumberFormat="1" applyFont="1" applyFill="1" applyBorder="1" applyAlignment="1">
      <alignment vertical="center"/>
    </xf>
    <xf numFmtId="9" fontId="6" fillId="0" borderId="0" xfId="0" applyNumberFormat="1" applyFont="1" applyFill="1" applyBorder="1" applyAlignment="1">
      <alignment horizontal="right" vertical="center"/>
    </xf>
    <xf numFmtId="0" fontId="19" fillId="0" borderId="0" xfId="0" applyFont="1"/>
    <xf numFmtId="49" fontId="0" fillId="2" borderId="4" xfId="0" applyNumberFormat="1" applyFont="1" applyFill="1" applyBorder="1" applyAlignment="1">
      <alignment vertical="center" wrapText="1"/>
    </xf>
    <xf numFmtId="49" fontId="0" fillId="0" borderId="4" xfId="0" applyNumberFormat="1" applyFont="1" applyFill="1" applyBorder="1" applyAlignment="1">
      <alignment vertical="center" wrapText="1"/>
    </xf>
    <xf numFmtId="9" fontId="0" fillId="0" borderId="15" xfId="0" applyNumberFormat="1" applyFont="1" applyFill="1" applyBorder="1" applyAlignment="1">
      <alignment vertical="center"/>
    </xf>
    <xf numFmtId="9" fontId="0" fillId="0" borderId="0" xfId="0" applyNumberFormat="1" applyFont="1" applyFill="1" applyBorder="1" applyAlignment="1">
      <alignment vertical="center"/>
    </xf>
    <xf numFmtId="165" fontId="0" fillId="0" borderId="10" xfId="0" applyNumberFormat="1" applyFont="1" applyFill="1" applyBorder="1" applyAlignment="1">
      <alignment vertical="center"/>
    </xf>
    <xf numFmtId="49" fontId="9" fillId="2" borderId="4" xfId="0" applyNumberFormat="1" applyFont="1" applyFill="1" applyBorder="1" applyAlignment="1">
      <alignment vertical="center"/>
    </xf>
    <xf numFmtId="167" fontId="10" fillId="0" borderId="61" xfId="0" applyNumberFormat="1" applyFont="1" applyFill="1" applyBorder="1" applyAlignment="1">
      <alignment vertical="center"/>
    </xf>
    <xf numFmtId="167" fontId="10" fillId="0" borderId="47" xfId="0" applyNumberFormat="1" applyFont="1" applyFill="1" applyBorder="1" applyAlignment="1">
      <alignment vertical="center"/>
    </xf>
    <xf numFmtId="9" fontId="11" fillId="0" borderId="62" xfId="0" applyNumberFormat="1" applyFont="1" applyFill="1" applyBorder="1" applyAlignment="1">
      <alignment horizontal="right" vertical="center"/>
    </xf>
    <xf numFmtId="9" fontId="4" fillId="0" borderId="0" xfId="0" applyNumberFormat="1" applyFont="1" applyFill="1" applyBorder="1" applyAlignment="1">
      <alignment vertical="center"/>
    </xf>
    <xf numFmtId="167" fontId="4" fillId="0" borderId="61" xfId="0" applyNumberFormat="1" applyFont="1" applyFill="1" applyBorder="1" applyAlignment="1">
      <alignment vertical="center"/>
    </xf>
    <xf numFmtId="167" fontId="4" fillId="0" borderId="47" xfId="0" applyNumberFormat="1" applyFont="1" applyFill="1" applyBorder="1" applyAlignment="1">
      <alignment vertical="center"/>
    </xf>
    <xf numFmtId="167" fontId="4" fillId="0" borderId="62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5" fontId="0" fillId="0" borderId="51" xfId="0" applyNumberFormat="1" applyFont="1" applyFill="1" applyBorder="1" applyAlignment="1">
      <alignment vertical="center"/>
    </xf>
    <xf numFmtId="165" fontId="0" fillId="0" borderId="39" xfId="0" applyNumberFormat="1" applyFont="1" applyFill="1" applyBorder="1" applyAlignment="1">
      <alignment vertical="center"/>
    </xf>
    <xf numFmtId="166" fontId="0" fillId="0" borderId="39" xfId="0" applyNumberFormat="1" applyFont="1" applyFill="1" applyBorder="1" applyAlignment="1">
      <alignment vertical="center"/>
    </xf>
    <xf numFmtId="165" fontId="0" fillId="0" borderId="63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167" fontId="0" fillId="5" borderId="68" xfId="0" applyNumberFormat="1" applyFont="1" applyFill="1" applyBorder="1" applyAlignment="1">
      <alignment vertical="center"/>
    </xf>
    <xf numFmtId="9" fontId="6" fillId="2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/>
    <xf numFmtId="3" fontId="6" fillId="0" borderId="0" xfId="0" applyNumberFormat="1" applyFont="1" applyFill="1" applyBorder="1" applyAlignment="1"/>
    <xf numFmtId="9" fontId="0" fillId="0" borderId="0" xfId="1" applyFont="1" applyAlignment="1"/>
    <xf numFmtId="9" fontId="6" fillId="4" borderId="66" xfId="1" applyFont="1" applyFill="1" applyBorder="1" applyAlignment="1">
      <alignment horizontal="right" vertical="center"/>
    </xf>
    <xf numFmtId="9" fontId="11" fillId="4" borderId="66" xfId="1" applyFont="1" applyFill="1" applyBorder="1" applyAlignment="1">
      <alignment horizontal="right" vertical="center"/>
    </xf>
    <xf numFmtId="9" fontId="0" fillId="2" borderId="60" xfId="1" applyFont="1" applyFill="1" applyBorder="1" applyAlignment="1">
      <alignment vertical="center"/>
    </xf>
    <xf numFmtId="9" fontId="0" fillId="5" borderId="60" xfId="1" applyFont="1" applyFill="1" applyBorder="1" applyAlignment="1">
      <alignment vertical="center"/>
    </xf>
    <xf numFmtId="9" fontId="6" fillId="2" borderId="58" xfId="1" applyFont="1" applyFill="1" applyBorder="1" applyAlignment="1">
      <alignment horizontal="right" vertical="center"/>
    </xf>
    <xf numFmtId="9" fontId="6" fillId="5" borderId="58" xfId="1" applyFont="1" applyFill="1" applyBorder="1" applyAlignment="1">
      <alignment horizontal="right" vertical="center"/>
    </xf>
    <xf numFmtId="9" fontId="0" fillId="2" borderId="63" xfId="1" applyFont="1" applyFill="1" applyBorder="1" applyAlignment="1">
      <alignment vertical="center"/>
    </xf>
    <xf numFmtId="9" fontId="0" fillId="5" borderId="63" xfId="1" applyFont="1" applyFill="1" applyBorder="1" applyAlignment="1">
      <alignment vertical="center"/>
    </xf>
    <xf numFmtId="9" fontId="11" fillId="4" borderId="62" xfId="1" applyFont="1" applyFill="1" applyBorder="1" applyAlignment="1">
      <alignment horizontal="right" vertical="center"/>
    </xf>
    <xf numFmtId="9" fontId="6" fillId="4" borderId="62" xfId="1" applyFont="1" applyFill="1" applyBorder="1" applyAlignment="1">
      <alignment horizontal="right" vertical="center"/>
    </xf>
    <xf numFmtId="9" fontId="4" fillId="2" borderId="62" xfId="1" applyFont="1" applyFill="1" applyBorder="1" applyAlignment="1">
      <alignment vertical="center"/>
    </xf>
    <xf numFmtId="9" fontId="4" fillId="5" borderId="62" xfId="1" applyFont="1" applyFill="1" applyBorder="1" applyAlignment="1">
      <alignment vertical="center"/>
    </xf>
    <xf numFmtId="9" fontId="6" fillId="2" borderId="60" xfId="1" applyFont="1" applyFill="1" applyBorder="1" applyAlignment="1">
      <alignment horizontal="right" vertical="center"/>
    </xf>
    <xf numFmtId="9" fontId="6" fillId="5" borderId="60" xfId="1" applyFont="1" applyFill="1" applyBorder="1" applyAlignment="1">
      <alignment horizontal="right" vertical="center"/>
    </xf>
    <xf numFmtId="49" fontId="0" fillId="2" borderId="70" xfId="0" applyNumberFormat="1" applyFont="1" applyFill="1" applyBorder="1" applyAlignment="1">
      <alignment vertical="center"/>
    </xf>
    <xf numFmtId="165" fontId="0" fillId="0" borderId="10" xfId="0" applyNumberFormat="1" applyFont="1" applyFill="1" applyBorder="1" applyAlignment="1">
      <alignment vertical="center" wrapText="1"/>
    </xf>
    <xf numFmtId="9" fontId="6" fillId="0" borderId="58" xfId="1" applyFont="1" applyFill="1" applyBorder="1" applyAlignment="1">
      <alignment horizontal="right" vertical="center"/>
    </xf>
    <xf numFmtId="49" fontId="6" fillId="0" borderId="58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justify" vertical="center" wrapText="1"/>
    </xf>
    <xf numFmtId="49" fontId="6" fillId="0" borderId="12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167" fontId="0" fillId="2" borderId="71" xfId="0" applyNumberFormat="1" applyFont="1" applyFill="1" applyBorder="1" applyAlignment="1">
      <alignment vertical="center"/>
    </xf>
    <xf numFmtId="9" fontId="0" fillId="2" borderId="58" xfId="1" applyFont="1" applyFill="1" applyBorder="1" applyAlignment="1">
      <alignment vertical="center"/>
    </xf>
    <xf numFmtId="9" fontId="4" fillId="2" borderId="58" xfId="1" applyFont="1" applyFill="1" applyBorder="1" applyAlignment="1">
      <alignment vertical="center"/>
    </xf>
    <xf numFmtId="9" fontId="4" fillId="5" borderId="58" xfId="1" applyFont="1" applyFill="1" applyBorder="1" applyAlignment="1">
      <alignment vertical="center"/>
    </xf>
    <xf numFmtId="167" fontId="4" fillId="2" borderId="68" xfId="0" applyNumberFormat="1" applyFont="1" applyFill="1" applyBorder="1" applyAlignment="1">
      <alignment vertical="center"/>
    </xf>
    <xf numFmtId="167" fontId="4" fillId="2" borderId="71" xfId="0" applyNumberFormat="1" applyFont="1" applyFill="1" applyBorder="1" applyAlignment="1">
      <alignment vertical="center"/>
    </xf>
    <xf numFmtId="167" fontId="0" fillId="2" borderId="72" xfId="0" applyNumberFormat="1" applyFont="1" applyFill="1" applyBorder="1" applyAlignment="1">
      <alignment vertical="center"/>
    </xf>
    <xf numFmtId="167" fontId="0" fillId="2" borderId="73" xfId="0" applyNumberFormat="1" applyFont="1" applyFill="1" applyBorder="1" applyAlignment="1">
      <alignment vertical="center"/>
    </xf>
    <xf numFmtId="167" fontId="10" fillId="4" borderId="74" xfId="0" applyNumberFormat="1" applyFont="1" applyFill="1" applyBorder="1" applyAlignment="1">
      <alignment vertical="center"/>
    </xf>
    <xf numFmtId="167" fontId="10" fillId="4" borderId="75" xfId="0" applyNumberFormat="1" applyFont="1" applyFill="1" applyBorder="1" applyAlignment="1">
      <alignment vertical="center"/>
    </xf>
    <xf numFmtId="49" fontId="6" fillId="5" borderId="76" xfId="0" applyNumberFormat="1" applyFont="1" applyFill="1" applyBorder="1" applyAlignment="1">
      <alignment horizontal="right" vertical="center"/>
    </xf>
    <xf numFmtId="167" fontId="0" fillId="5" borderId="77" xfId="0" applyNumberFormat="1" applyFont="1" applyFill="1" applyBorder="1" applyAlignment="1">
      <alignment vertical="center"/>
    </xf>
    <xf numFmtId="167" fontId="0" fillId="5" borderId="78" xfId="0" applyNumberFormat="1" applyFont="1" applyFill="1" applyBorder="1" applyAlignment="1">
      <alignment vertical="center"/>
    </xf>
    <xf numFmtId="9" fontId="6" fillId="2" borderId="76" xfId="1" applyFont="1" applyFill="1" applyBorder="1" applyAlignment="1">
      <alignment horizontal="right" vertical="center"/>
    </xf>
    <xf numFmtId="167" fontId="0" fillId="2" borderId="78" xfId="0" applyNumberFormat="1" applyFont="1" applyFill="1" applyBorder="1" applyAlignment="1">
      <alignment vertical="center"/>
    </xf>
    <xf numFmtId="9" fontId="6" fillId="5" borderId="76" xfId="1" applyFont="1" applyFill="1" applyBorder="1" applyAlignment="1">
      <alignment horizontal="right" vertical="center"/>
    </xf>
    <xf numFmtId="167" fontId="0" fillId="2" borderId="77" xfId="0" applyNumberFormat="1" applyFont="1" applyFill="1" applyBorder="1" applyAlignment="1">
      <alignment vertical="center"/>
    </xf>
    <xf numFmtId="49" fontId="0" fillId="2" borderId="76" xfId="0" applyNumberFormat="1" applyFont="1" applyFill="1" applyBorder="1" applyAlignment="1">
      <alignment vertical="center"/>
    </xf>
    <xf numFmtId="49" fontId="0" fillId="2" borderId="0" xfId="0" applyNumberFormat="1" applyFont="1" applyFill="1" applyBorder="1" applyAlignment="1">
      <alignment vertical="center" wrapText="1"/>
    </xf>
    <xf numFmtId="9" fontId="0" fillId="3" borderId="26" xfId="0" applyNumberFormat="1" applyFont="1" applyFill="1" applyBorder="1" applyAlignment="1">
      <alignment vertical="center"/>
    </xf>
    <xf numFmtId="9" fontId="6" fillId="2" borderId="79" xfId="1" applyFont="1" applyFill="1" applyBorder="1" applyAlignment="1">
      <alignment horizontal="right" vertical="center"/>
    </xf>
    <xf numFmtId="167" fontId="0" fillId="2" borderId="80" xfId="0" applyNumberFormat="1" applyFont="1" applyFill="1" applyBorder="1" applyAlignment="1">
      <alignment vertical="center"/>
    </xf>
    <xf numFmtId="167" fontId="0" fillId="2" borderId="81" xfId="0" applyNumberFormat="1" applyFont="1" applyFill="1" applyBorder="1" applyAlignment="1">
      <alignment vertical="center"/>
    </xf>
    <xf numFmtId="167" fontId="0" fillId="3" borderId="76" xfId="0" applyNumberFormat="1" applyFont="1" applyFill="1" applyBorder="1" applyAlignment="1">
      <alignment vertical="center"/>
    </xf>
    <xf numFmtId="9" fontId="6" fillId="5" borderId="76" xfId="0" applyNumberFormat="1" applyFont="1" applyFill="1" applyBorder="1" applyAlignment="1">
      <alignment horizontal="right" vertical="center"/>
    </xf>
    <xf numFmtId="167" fontId="0" fillId="3" borderId="26" xfId="0" applyNumberFormat="1" applyFont="1" applyFill="1" applyBorder="1" applyAlignment="1">
      <alignment vertical="center"/>
    </xf>
    <xf numFmtId="167" fontId="0" fillId="5" borderId="81" xfId="0" applyNumberFormat="1" applyFont="1" applyFill="1" applyBorder="1" applyAlignment="1">
      <alignment vertical="center"/>
    </xf>
    <xf numFmtId="0" fontId="0" fillId="0" borderId="76" xfId="0" applyNumberFormat="1" applyFont="1" applyBorder="1" applyAlignment="1"/>
    <xf numFmtId="9" fontId="0" fillId="2" borderId="76" xfId="1" applyFont="1" applyFill="1" applyBorder="1" applyAlignment="1">
      <alignment vertical="center"/>
    </xf>
    <xf numFmtId="167" fontId="0" fillId="5" borderId="76" xfId="0" applyNumberFormat="1" applyFont="1" applyFill="1" applyBorder="1" applyAlignment="1">
      <alignment vertical="center"/>
    </xf>
    <xf numFmtId="9" fontId="0" fillId="5" borderId="76" xfId="1" applyFont="1" applyFill="1" applyBorder="1" applyAlignment="1">
      <alignment vertical="center"/>
    </xf>
    <xf numFmtId="49" fontId="10" fillId="2" borderId="70" xfId="0" applyNumberFormat="1" applyFont="1" applyFill="1" applyBorder="1" applyAlignment="1">
      <alignment vertical="center"/>
    </xf>
    <xf numFmtId="9" fontId="4" fillId="2" borderId="63" xfId="1" applyFont="1" applyFill="1" applyBorder="1" applyAlignment="1">
      <alignment vertical="center"/>
    </xf>
    <xf numFmtId="9" fontId="4" fillId="5" borderId="63" xfId="1" applyFont="1" applyFill="1" applyBorder="1" applyAlignment="1">
      <alignment vertical="center"/>
    </xf>
    <xf numFmtId="167" fontId="4" fillId="5" borderId="72" xfId="0" applyNumberFormat="1" applyFont="1" applyFill="1" applyBorder="1" applyAlignment="1">
      <alignment vertical="center"/>
    </xf>
    <xf numFmtId="167" fontId="4" fillId="5" borderId="82" xfId="0" applyNumberFormat="1" applyFont="1" applyFill="1" applyBorder="1" applyAlignment="1">
      <alignment vertical="center"/>
    </xf>
    <xf numFmtId="9" fontId="4" fillId="4" borderId="62" xfId="1" applyFont="1" applyFill="1" applyBorder="1" applyAlignment="1">
      <alignment horizontal="right" vertical="center"/>
    </xf>
    <xf numFmtId="9" fontId="4" fillId="2" borderId="60" xfId="1" applyFont="1" applyFill="1" applyBorder="1" applyAlignment="1">
      <alignment vertical="center"/>
    </xf>
    <xf numFmtId="9" fontId="10" fillId="4" borderId="62" xfId="1" applyFont="1" applyFill="1" applyBorder="1" applyAlignment="1">
      <alignment horizontal="right" vertical="center"/>
    </xf>
    <xf numFmtId="164" fontId="0" fillId="2" borderId="57" xfId="0" applyNumberFormat="1" applyFont="1" applyFill="1" applyBorder="1" applyAlignment="1">
      <alignment vertical="center"/>
    </xf>
    <xf numFmtId="9" fontId="4" fillId="2" borderId="56" xfId="1" applyFont="1" applyFill="1" applyBorder="1" applyAlignment="1">
      <alignment vertical="center"/>
    </xf>
    <xf numFmtId="9" fontId="10" fillId="4" borderId="67" xfId="1" applyFont="1" applyFill="1" applyBorder="1" applyAlignment="1">
      <alignment horizontal="center" vertical="center"/>
    </xf>
    <xf numFmtId="9" fontId="10" fillId="4" borderId="54" xfId="1" applyFont="1" applyFill="1" applyBorder="1" applyAlignment="1">
      <alignment horizontal="center" vertical="center"/>
    </xf>
    <xf numFmtId="9" fontId="0" fillId="2" borderId="0" xfId="1" applyFont="1" applyFill="1" applyBorder="1" applyAlignment="1">
      <alignment vertical="center"/>
    </xf>
    <xf numFmtId="9" fontId="9" fillId="2" borderId="0" xfId="1" applyFont="1" applyFill="1" applyBorder="1" applyAlignment="1">
      <alignment vertical="center"/>
    </xf>
    <xf numFmtId="9" fontId="17" fillId="2" borderId="0" xfId="1" applyFont="1" applyFill="1" applyBorder="1" applyAlignment="1">
      <alignment horizontal="left" vertical="center"/>
    </xf>
    <xf numFmtId="9" fontId="16" fillId="5" borderId="0" xfId="1" applyFont="1" applyFill="1" applyBorder="1" applyAlignment="1">
      <alignment vertical="center"/>
    </xf>
    <xf numFmtId="9" fontId="3" fillId="2" borderId="0" xfId="1" applyFont="1" applyFill="1" applyBorder="1" applyAlignment="1">
      <alignment horizontal="left" vertical="center"/>
    </xf>
    <xf numFmtId="9" fontId="2" fillId="5" borderId="0" xfId="1" applyFont="1" applyFill="1" applyBorder="1" applyAlignment="1">
      <alignment vertical="center"/>
    </xf>
    <xf numFmtId="9" fontId="16" fillId="2" borderId="0" xfId="1" applyFont="1" applyFill="1" applyBorder="1" applyAlignment="1">
      <alignment vertical="center"/>
    </xf>
    <xf numFmtId="9" fontId="2" fillId="2" borderId="0" xfId="1" applyFont="1" applyFill="1" applyBorder="1" applyAlignment="1">
      <alignment vertical="center"/>
    </xf>
    <xf numFmtId="9" fontId="1" fillId="5" borderId="0" xfId="1" applyFont="1" applyFill="1" applyBorder="1" applyAlignment="1">
      <alignment vertical="center"/>
    </xf>
    <xf numFmtId="9" fontId="0" fillId="2" borderId="2" xfId="1" applyFont="1" applyFill="1" applyBorder="1" applyAlignment="1">
      <alignment vertical="center"/>
    </xf>
    <xf numFmtId="9" fontId="2" fillId="2" borderId="2" xfId="1" applyFont="1" applyFill="1" applyBorder="1" applyAlignment="1">
      <alignment vertical="center"/>
    </xf>
    <xf numFmtId="9" fontId="2" fillId="5" borderId="2" xfId="1" applyFont="1" applyFill="1" applyBorder="1" applyAlignment="1">
      <alignment vertical="center"/>
    </xf>
    <xf numFmtId="0" fontId="19" fillId="0" borderId="0" xfId="0" applyFont="1" applyAlignment="1"/>
    <xf numFmtId="0" fontId="27" fillId="0" borderId="0" xfId="0" applyNumberFormat="1" applyFont="1" applyAlignment="1"/>
    <xf numFmtId="167" fontId="27" fillId="2" borderId="11" xfId="0" applyNumberFormat="1" applyFont="1" applyFill="1" applyBorder="1" applyAlignment="1">
      <alignment vertical="center" wrapText="1"/>
    </xf>
    <xf numFmtId="9" fontId="28" fillId="3" borderId="24" xfId="0" applyNumberFormat="1" applyFont="1" applyFill="1" applyBorder="1" applyAlignment="1">
      <alignment vertical="center"/>
    </xf>
    <xf numFmtId="9" fontId="29" fillId="4" borderId="66" xfId="0" applyNumberFormat="1" applyFont="1" applyFill="1" applyBorder="1" applyAlignment="1">
      <alignment horizontal="right" vertical="center"/>
    </xf>
    <xf numFmtId="167" fontId="28" fillId="4" borderId="65" xfId="0" applyNumberFormat="1" applyFont="1" applyFill="1" applyBorder="1" applyAlignment="1">
      <alignment vertical="center"/>
    </xf>
    <xf numFmtId="167" fontId="28" fillId="4" borderId="64" xfId="0" applyNumberFormat="1" applyFont="1" applyFill="1" applyBorder="1" applyAlignment="1">
      <alignment vertical="center"/>
    </xf>
    <xf numFmtId="9" fontId="28" fillId="3" borderId="7" xfId="0" applyNumberFormat="1" applyFont="1" applyFill="1" applyBorder="1" applyAlignment="1">
      <alignment vertical="center"/>
    </xf>
    <xf numFmtId="9" fontId="30" fillId="4" borderId="66" xfId="0" applyNumberFormat="1" applyFont="1" applyFill="1" applyBorder="1" applyAlignment="1">
      <alignment horizontal="right" vertical="center"/>
    </xf>
    <xf numFmtId="167" fontId="31" fillId="4" borderId="65" xfId="0" applyNumberFormat="1" applyFont="1" applyFill="1" applyBorder="1" applyAlignment="1">
      <alignment vertical="center"/>
    </xf>
    <xf numFmtId="167" fontId="31" fillId="4" borderId="64" xfId="0" applyNumberFormat="1" applyFont="1" applyFill="1" applyBorder="1" applyAlignment="1">
      <alignment vertical="center"/>
    </xf>
    <xf numFmtId="49" fontId="31" fillId="4" borderId="22" xfId="0" applyNumberFormat="1" applyFont="1" applyFill="1" applyBorder="1" applyAlignment="1">
      <alignment vertical="center"/>
    </xf>
    <xf numFmtId="165" fontId="27" fillId="2" borderId="10" xfId="0" applyNumberFormat="1" applyFont="1" applyFill="1" applyBorder="1" applyAlignment="1">
      <alignment vertical="center" wrapText="1"/>
    </xf>
    <xf numFmtId="165" fontId="27" fillId="3" borderId="15" xfId="0" applyNumberFormat="1" applyFont="1" applyFill="1" applyBorder="1" applyAlignment="1">
      <alignment vertical="center"/>
    </xf>
    <xf numFmtId="9" fontId="27" fillId="2" borderId="60" xfId="0" applyNumberFormat="1" applyFont="1" applyFill="1" applyBorder="1" applyAlignment="1">
      <alignment vertical="center"/>
    </xf>
    <xf numFmtId="165" fontId="27" fillId="2" borderId="43" xfId="0" applyNumberFormat="1" applyFont="1" applyFill="1" applyBorder="1" applyAlignment="1">
      <alignment vertical="center"/>
    </xf>
    <xf numFmtId="165" fontId="27" fillId="2" borderId="59" xfId="0" applyNumberFormat="1" applyFont="1" applyFill="1" applyBorder="1" applyAlignment="1">
      <alignment vertical="center"/>
    </xf>
    <xf numFmtId="165" fontId="27" fillId="3" borderId="0" xfId="0" applyNumberFormat="1" applyFont="1" applyFill="1" applyBorder="1" applyAlignment="1">
      <alignment vertical="center"/>
    </xf>
    <xf numFmtId="165" fontId="27" fillId="5" borderId="60" xfId="0" applyNumberFormat="1" applyFont="1" applyFill="1" applyBorder="1" applyAlignment="1">
      <alignment vertical="center"/>
    </xf>
    <xf numFmtId="165" fontId="27" fillId="5" borderId="43" xfId="0" applyNumberFormat="1" applyFont="1" applyFill="1" applyBorder="1" applyAlignment="1">
      <alignment vertical="center"/>
    </xf>
    <xf numFmtId="165" fontId="27" fillId="5" borderId="59" xfId="0" applyNumberFormat="1" applyFont="1" applyFill="1" applyBorder="1" applyAlignment="1">
      <alignment vertical="center"/>
    </xf>
    <xf numFmtId="9" fontId="27" fillId="5" borderId="60" xfId="0" applyNumberFormat="1" applyFont="1" applyFill="1" applyBorder="1" applyAlignment="1">
      <alignment vertical="center"/>
    </xf>
    <xf numFmtId="165" fontId="32" fillId="2" borderId="16" xfId="0" applyNumberFormat="1" applyFont="1" applyFill="1" applyBorder="1" applyAlignment="1">
      <alignment vertical="center"/>
    </xf>
    <xf numFmtId="9" fontId="29" fillId="3" borderId="15" xfId="0" applyNumberFormat="1" applyFont="1" applyFill="1" applyBorder="1" applyAlignment="1">
      <alignment horizontal="right" vertical="center"/>
    </xf>
    <xf numFmtId="9" fontId="29" fillId="2" borderId="58" xfId="0" applyNumberFormat="1" applyFont="1" applyFill="1" applyBorder="1" applyAlignment="1">
      <alignment horizontal="right" vertical="center"/>
    </xf>
    <xf numFmtId="2" fontId="27" fillId="2" borderId="46" xfId="0" applyNumberFormat="1" applyFont="1" applyFill="1" applyBorder="1" applyAlignment="1">
      <alignment vertical="center"/>
    </xf>
    <xf numFmtId="2" fontId="27" fillId="2" borderId="57" xfId="0" applyNumberFormat="1" applyFont="1" applyFill="1" applyBorder="1" applyAlignment="1">
      <alignment vertical="center"/>
    </xf>
    <xf numFmtId="2" fontId="29" fillId="3" borderId="0" xfId="0" applyNumberFormat="1" applyFont="1" applyFill="1" applyBorder="1" applyAlignment="1">
      <alignment horizontal="right" vertical="center"/>
    </xf>
    <xf numFmtId="9" fontId="29" fillId="3" borderId="0" xfId="0" applyNumberFormat="1" applyFont="1" applyFill="1" applyBorder="1" applyAlignment="1">
      <alignment horizontal="right" vertical="center"/>
    </xf>
    <xf numFmtId="49" fontId="29" fillId="5" borderId="58" xfId="0" applyNumberFormat="1" applyFont="1" applyFill="1" applyBorder="1" applyAlignment="1">
      <alignment horizontal="right" vertical="center"/>
    </xf>
    <xf numFmtId="167" fontId="27" fillId="5" borderId="46" xfId="0" applyNumberFormat="1" applyFont="1" applyFill="1" applyBorder="1" applyAlignment="1">
      <alignment vertical="center"/>
    </xf>
    <xf numFmtId="167" fontId="27" fillId="5" borderId="57" xfId="0" applyNumberFormat="1" applyFont="1" applyFill="1" applyBorder="1" applyAlignment="1">
      <alignment vertical="center"/>
    </xf>
    <xf numFmtId="9" fontId="29" fillId="5" borderId="58" xfId="0" applyNumberFormat="1" applyFont="1" applyFill="1" applyBorder="1" applyAlignment="1">
      <alignment horizontal="right" vertical="center"/>
    </xf>
    <xf numFmtId="2" fontId="27" fillId="5" borderId="46" xfId="0" applyNumberFormat="1" applyFont="1" applyFill="1" applyBorder="1" applyAlignment="1">
      <alignment vertical="center"/>
    </xf>
    <xf numFmtId="2" fontId="27" fillId="5" borderId="57" xfId="0" applyNumberFormat="1" applyFont="1" applyFill="1" applyBorder="1" applyAlignment="1">
      <alignment vertical="center"/>
    </xf>
    <xf numFmtId="49" fontId="31" fillId="2" borderId="4" xfId="0" applyNumberFormat="1" applyFont="1" applyFill="1" applyBorder="1" applyAlignment="1">
      <alignment vertical="center"/>
    </xf>
    <xf numFmtId="9" fontId="27" fillId="2" borderId="63" xfId="0" applyNumberFormat="1" applyFont="1" applyFill="1" applyBorder="1" applyAlignment="1">
      <alignment vertical="center"/>
    </xf>
    <xf numFmtId="166" fontId="27" fillId="2" borderId="39" xfId="0" applyNumberFormat="1" applyFont="1" applyFill="1" applyBorder="1" applyAlignment="1">
      <alignment vertical="center"/>
    </xf>
    <xf numFmtId="167" fontId="27" fillId="2" borderId="51" xfId="0" applyNumberFormat="1" applyFont="1" applyFill="1" applyBorder="1" applyAlignment="1">
      <alignment vertical="center"/>
    </xf>
    <xf numFmtId="167" fontId="27" fillId="2" borderId="39" xfId="0" applyNumberFormat="1" applyFont="1" applyFill="1" applyBorder="1" applyAlignment="1">
      <alignment vertical="center"/>
    </xf>
    <xf numFmtId="165" fontId="27" fillId="5" borderId="63" xfId="0" applyNumberFormat="1" applyFont="1" applyFill="1" applyBorder="1" applyAlignment="1">
      <alignment vertical="center"/>
    </xf>
    <xf numFmtId="166" fontId="27" fillId="5" borderId="39" xfId="0" applyNumberFormat="1" applyFont="1" applyFill="1" applyBorder="1" applyAlignment="1">
      <alignment vertical="center"/>
    </xf>
    <xf numFmtId="165" fontId="27" fillId="5" borderId="39" xfId="0" applyNumberFormat="1" applyFont="1" applyFill="1" applyBorder="1" applyAlignment="1">
      <alignment vertical="center"/>
    </xf>
    <xf numFmtId="165" fontId="27" fillId="5" borderId="51" xfId="0" applyNumberFormat="1" applyFont="1" applyFill="1" applyBorder="1" applyAlignment="1">
      <alignment vertical="center"/>
    </xf>
    <xf numFmtId="165" fontId="27" fillId="2" borderId="39" xfId="0" applyNumberFormat="1" applyFont="1" applyFill="1" applyBorder="1" applyAlignment="1">
      <alignment vertical="center"/>
    </xf>
    <xf numFmtId="165" fontId="27" fillId="2" borderId="51" xfId="0" applyNumberFormat="1" applyFont="1" applyFill="1" applyBorder="1" applyAlignment="1">
      <alignment vertical="center"/>
    </xf>
    <xf numFmtId="9" fontId="27" fillId="5" borderId="63" xfId="0" applyNumberFormat="1" applyFont="1" applyFill="1" applyBorder="1" applyAlignment="1">
      <alignment vertical="center"/>
    </xf>
    <xf numFmtId="165" fontId="33" fillId="2" borderId="21" xfId="0" applyNumberFormat="1" applyFont="1" applyFill="1" applyBorder="1" applyAlignment="1">
      <alignment vertical="center"/>
    </xf>
    <xf numFmtId="167" fontId="27" fillId="2" borderId="10" xfId="0" applyNumberFormat="1" applyFont="1" applyFill="1" applyBorder="1" applyAlignment="1">
      <alignment vertical="center" wrapText="1"/>
    </xf>
    <xf numFmtId="9" fontId="30" fillId="4" borderId="62" xfId="0" applyNumberFormat="1" applyFont="1" applyFill="1" applyBorder="1" applyAlignment="1">
      <alignment horizontal="right" vertical="center"/>
    </xf>
    <xf numFmtId="167" fontId="31" fillId="4" borderId="47" xfId="0" applyNumberFormat="1" applyFont="1" applyFill="1" applyBorder="1" applyAlignment="1">
      <alignment vertical="center"/>
    </xf>
    <xf numFmtId="167" fontId="31" fillId="4" borderId="61" xfId="0" applyNumberFormat="1" applyFont="1" applyFill="1" applyBorder="1" applyAlignment="1">
      <alignment vertical="center"/>
    </xf>
    <xf numFmtId="9" fontId="29" fillId="4" borderId="62" xfId="0" applyNumberFormat="1" applyFont="1" applyFill="1" applyBorder="1" applyAlignment="1">
      <alignment horizontal="right" vertical="center"/>
    </xf>
    <xf numFmtId="167" fontId="28" fillId="4" borderId="47" xfId="0" applyNumberFormat="1" applyFont="1" applyFill="1" applyBorder="1" applyAlignment="1">
      <alignment vertical="center"/>
    </xf>
    <xf numFmtId="167" fontId="28" fillId="4" borderId="61" xfId="0" applyNumberFormat="1" applyFont="1" applyFill="1" applyBorder="1" applyAlignment="1">
      <alignment vertical="center"/>
    </xf>
    <xf numFmtId="49" fontId="31" fillId="4" borderId="20" xfId="0" applyNumberFormat="1" applyFont="1" applyFill="1" applyBorder="1" applyAlignment="1">
      <alignment vertical="center"/>
    </xf>
    <xf numFmtId="167" fontId="28" fillId="3" borderId="15" xfId="0" applyNumberFormat="1" applyFont="1" applyFill="1" applyBorder="1" applyAlignment="1">
      <alignment vertical="center"/>
    </xf>
    <xf numFmtId="9" fontId="28" fillId="2" borderId="62" xfId="0" applyNumberFormat="1" applyFont="1" applyFill="1" applyBorder="1" applyAlignment="1">
      <alignment vertical="center"/>
    </xf>
    <xf numFmtId="167" fontId="28" fillId="2" borderId="47" xfId="0" applyNumberFormat="1" applyFont="1" applyFill="1" applyBorder="1" applyAlignment="1">
      <alignment vertical="center"/>
    </xf>
    <xf numFmtId="167" fontId="27" fillId="2" borderId="61" xfId="0" applyNumberFormat="1" applyFont="1" applyFill="1" applyBorder="1" applyAlignment="1">
      <alignment vertical="center"/>
    </xf>
    <xf numFmtId="167" fontId="28" fillId="3" borderId="0" xfId="0" applyNumberFormat="1" applyFont="1" applyFill="1" applyBorder="1" applyAlignment="1">
      <alignment vertical="center"/>
    </xf>
    <xf numFmtId="167" fontId="27" fillId="2" borderId="47" xfId="0" applyNumberFormat="1" applyFont="1" applyFill="1" applyBorder="1" applyAlignment="1">
      <alignment vertical="center"/>
    </xf>
    <xf numFmtId="167" fontId="28" fillId="5" borderId="62" xfId="0" applyNumberFormat="1" applyFont="1" applyFill="1" applyBorder="1" applyAlignment="1">
      <alignment vertical="center"/>
    </xf>
    <xf numFmtId="167" fontId="28" fillId="5" borderId="47" xfId="0" applyNumberFormat="1" applyFont="1" applyFill="1" applyBorder="1" applyAlignment="1">
      <alignment vertical="center"/>
    </xf>
    <xf numFmtId="167" fontId="28" fillId="5" borderId="61" xfId="0" applyNumberFormat="1" applyFont="1" applyFill="1" applyBorder="1" applyAlignment="1">
      <alignment vertical="center"/>
    </xf>
    <xf numFmtId="167" fontId="28" fillId="2" borderId="61" xfId="0" applyNumberFormat="1" applyFont="1" applyFill="1" applyBorder="1" applyAlignment="1">
      <alignment vertical="center"/>
    </xf>
    <xf numFmtId="9" fontId="28" fillId="5" borderId="62" xfId="0" applyNumberFormat="1" applyFont="1" applyFill="1" applyBorder="1" applyAlignment="1">
      <alignment vertical="center"/>
    </xf>
    <xf numFmtId="165" fontId="33" fillId="2" borderId="20" xfId="0" applyNumberFormat="1" applyFont="1" applyFill="1" applyBorder="1" applyAlignment="1">
      <alignment vertical="center"/>
    </xf>
    <xf numFmtId="9" fontId="29" fillId="5" borderId="62" xfId="0" applyNumberFormat="1" applyFont="1" applyFill="1" applyBorder="1" applyAlignment="1">
      <alignment horizontal="right" vertical="center"/>
    </xf>
    <xf numFmtId="165" fontId="32" fillId="2" borderId="20" xfId="0" applyNumberFormat="1" applyFont="1" applyFill="1" applyBorder="1" applyAlignment="1">
      <alignment vertical="center"/>
    </xf>
    <xf numFmtId="9" fontId="28" fillId="3" borderId="15" xfId="0" applyNumberFormat="1" applyFont="1" applyFill="1" applyBorder="1" applyAlignment="1">
      <alignment vertical="center"/>
    </xf>
    <xf numFmtId="9" fontId="28" fillId="3" borderId="0" xfId="0" applyNumberFormat="1" applyFont="1" applyFill="1" applyBorder="1" applyAlignment="1">
      <alignment vertical="center"/>
    </xf>
    <xf numFmtId="9" fontId="27" fillId="3" borderId="15" xfId="0" applyNumberFormat="1" applyFont="1" applyFill="1" applyBorder="1" applyAlignment="1">
      <alignment vertical="center"/>
    </xf>
    <xf numFmtId="9" fontId="29" fillId="2" borderId="60" xfId="0" applyNumberFormat="1" applyFont="1" applyFill="1" applyBorder="1" applyAlignment="1">
      <alignment horizontal="right" vertical="center"/>
    </xf>
    <xf numFmtId="167" fontId="27" fillId="2" borderId="43" xfId="0" applyNumberFormat="1" applyFont="1" applyFill="1" applyBorder="1" applyAlignment="1">
      <alignment vertical="center"/>
    </xf>
    <xf numFmtId="167" fontId="27" fillId="2" borderId="59" xfId="0" applyNumberFormat="1" applyFont="1" applyFill="1" applyBorder="1" applyAlignment="1">
      <alignment vertical="center"/>
    </xf>
    <xf numFmtId="9" fontId="27" fillId="3" borderId="0" xfId="0" applyNumberFormat="1" applyFont="1" applyFill="1" applyBorder="1" applyAlignment="1">
      <alignment vertical="center"/>
    </xf>
    <xf numFmtId="9" fontId="29" fillId="5" borderId="60" xfId="0" applyNumberFormat="1" applyFont="1" applyFill="1" applyBorder="1" applyAlignment="1">
      <alignment horizontal="right" vertical="center"/>
    </xf>
    <xf numFmtId="167" fontId="27" fillId="5" borderId="43" xfId="0" applyNumberFormat="1" applyFont="1" applyFill="1" applyBorder="1" applyAlignment="1">
      <alignment vertical="center"/>
    </xf>
    <xf numFmtId="167" fontId="27" fillId="5" borderId="59" xfId="0" applyNumberFormat="1" applyFont="1" applyFill="1" applyBorder="1" applyAlignment="1">
      <alignment vertical="center"/>
    </xf>
    <xf numFmtId="165" fontId="27" fillId="2" borderId="16" xfId="0" applyNumberFormat="1" applyFont="1" applyFill="1" applyBorder="1" applyAlignment="1">
      <alignment vertical="center"/>
    </xf>
    <xf numFmtId="167" fontId="27" fillId="2" borderId="46" xfId="0" applyNumberFormat="1" applyFont="1" applyFill="1" applyBorder="1" applyAlignment="1">
      <alignment vertical="center"/>
    </xf>
    <xf numFmtId="167" fontId="27" fillId="2" borderId="57" xfId="0" applyNumberFormat="1" applyFont="1" applyFill="1" applyBorder="1" applyAlignment="1">
      <alignment vertical="center"/>
    </xf>
    <xf numFmtId="9" fontId="29" fillId="5" borderId="58" xfId="1" applyNumberFormat="1" applyFont="1" applyFill="1" applyBorder="1" applyAlignment="1">
      <alignment horizontal="right" vertical="center"/>
    </xf>
    <xf numFmtId="49" fontId="27" fillId="2" borderId="4" xfId="0" applyNumberFormat="1" applyFont="1" applyFill="1" applyBorder="1" applyAlignment="1">
      <alignment vertical="center"/>
    </xf>
    <xf numFmtId="49" fontId="27" fillId="2" borderId="10" xfId="0" applyNumberFormat="1" applyFont="1" applyFill="1" applyBorder="1" applyAlignment="1">
      <alignment vertical="center" wrapText="1"/>
    </xf>
    <xf numFmtId="2" fontId="27" fillId="3" borderId="0" xfId="0" applyNumberFormat="1" applyFont="1" applyFill="1" applyBorder="1" applyAlignment="1">
      <alignment vertical="center"/>
    </xf>
    <xf numFmtId="49" fontId="29" fillId="2" borderId="14" xfId="0" applyNumberFormat="1" applyFont="1" applyFill="1" applyBorder="1" applyAlignment="1">
      <alignment horizontal="justify" vertical="center" wrapText="1"/>
    </xf>
    <xf numFmtId="49" fontId="29" fillId="2" borderId="12" xfId="0" applyNumberFormat="1" applyFont="1" applyFill="1" applyBorder="1" applyAlignment="1">
      <alignment horizontal="justify" vertical="center" wrapText="1"/>
    </xf>
    <xf numFmtId="49" fontId="29" fillId="2" borderId="10" xfId="0" applyNumberFormat="1" applyFont="1" applyFill="1" applyBorder="1" applyAlignment="1">
      <alignment horizontal="justify" vertical="center" wrapText="1"/>
    </xf>
    <xf numFmtId="9" fontId="27" fillId="2" borderId="58" xfId="0" applyNumberFormat="1" applyFont="1" applyFill="1" applyBorder="1" applyAlignment="1">
      <alignment vertical="center"/>
    </xf>
    <xf numFmtId="167" fontId="28" fillId="2" borderId="57" xfId="0" applyNumberFormat="1" applyFont="1" applyFill="1" applyBorder="1" applyAlignment="1">
      <alignment vertical="center"/>
    </xf>
    <xf numFmtId="167" fontId="28" fillId="2" borderId="46" xfId="0" applyNumberFormat="1" applyFont="1" applyFill="1" applyBorder="1" applyAlignment="1">
      <alignment vertical="center"/>
    </xf>
    <xf numFmtId="167" fontId="28" fillId="5" borderId="58" xfId="0" applyNumberFormat="1" applyFont="1" applyFill="1" applyBorder="1" applyAlignment="1">
      <alignment vertical="center"/>
    </xf>
    <xf numFmtId="167" fontId="28" fillId="5" borderId="46" xfId="0" applyNumberFormat="1" applyFont="1" applyFill="1" applyBorder="1" applyAlignment="1">
      <alignment vertical="center"/>
    </xf>
    <xf numFmtId="167" fontId="28" fillId="5" borderId="57" xfId="0" applyNumberFormat="1" applyFont="1" applyFill="1" applyBorder="1" applyAlignment="1">
      <alignment vertical="center"/>
    </xf>
    <xf numFmtId="9" fontId="28" fillId="2" borderId="58" xfId="0" applyNumberFormat="1" applyFont="1" applyFill="1" applyBorder="1" applyAlignment="1">
      <alignment vertical="center"/>
    </xf>
    <xf numFmtId="9" fontId="28" fillId="5" borderId="58" xfId="1" applyNumberFormat="1" applyFont="1" applyFill="1" applyBorder="1" applyAlignment="1">
      <alignment vertical="center"/>
    </xf>
    <xf numFmtId="167" fontId="27" fillId="3" borderId="15" xfId="0" applyNumberFormat="1" applyFont="1" applyFill="1" applyBorder="1" applyAlignment="1">
      <alignment vertical="center"/>
    </xf>
    <xf numFmtId="167" fontId="27" fillId="3" borderId="0" xfId="0" applyNumberFormat="1" applyFont="1" applyFill="1" applyBorder="1" applyAlignment="1">
      <alignment vertical="center"/>
    </xf>
    <xf numFmtId="167" fontId="27" fillId="5" borderId="63" xfId="0" applyNumberFormat="1" applyFont="1" applyFill="1" applyBorder="1" applyAlignment="1">
      <alignment vertical="center"/>
    </xf>
    <xf numFmtId="167" fontId="27" fillId="5" borderId="39" xfId="0" applyNumberFormat="1" applyFont="1" applyFill="1" applyBorder="1" applyAlignment="1">
      <alignment vertical="center"/>
    </xf>
    <xf numFmtId="167" fontId="27" fillId="5" borderId="51" xfId="0" applyNumberFormat="1" applyFont="1" applyFill="1" applyBorder="1" applyAlignment="1">
      <alignment vertical="center"/>
    </xf>
    <xf numFmtId="9" fontId="27" fillId="5" borderId="63" xfId="1" applyNumberFormat="1" applyFont="1" applyFill="1" applyBorder="1" applyAlignment="1">
      <alignment vertical="center"/>
    </xf>
    <xf numFmtId="165" fontId="27" fillId="2" borderId="21" xfId="0" applyNumberFormat="1" applyFont="1" applyFill="1" applyBorder="1" applyAlignment="1">
      <alignment vertical="center"/>
    </xf>
    <xf numFmtId="167" fontId="27" fillId="2" borderId="14" xfId="0" applyNumberFormat="1" applyFont="1" applyFill="1" applyBorder="1" applyAlignment="1">
      <alignment vertical="center" wrapText="1"/>
    </xf>
    <xf numFmtId="9" fontId="30" fillId="4" borderId="62" xfId="1" applyNumberFormat="1" applyFont="1" applyFill="1" applyBorder="1" applyAlignment="1">
      <alignment horizontal="right" vertical="center"/>
    </xf>
    <xf numFmtId="49" fontId="27" fillId="2" borderId="13" xfId="0" applyNumberFormat="1" applyFont="1" applyFill="1" applyBorder="1" applyAlignment="1">
      <alignment vertical="center" wrapText="1"/>
    </xf>
    <xf numFmtId="2" fontId="27" fillId="2" borderId="43" xfId="0" applyNumberFormat="1" applyFont="1" applyFill="1" applyBorder="1" applyAlignment="1">
      <alignment vertical="center"/>
    </xf>
    <xf numFmtId="2" fontId="27" fillId="2" borderId="59" xfId="0" applyNumberFormat="1" applyFont="1" applyFill="1" applyBorder="1" applyAlignment="1">
      <alignment vertical="center"/>
    </xf>
    <xf numFmtId="9" fontId="29" fillId="5" borderId="60" xfId="1" applyNumberFormat="1" applyFont="1" applyFill="1" applyBorder="1" applyAlignment="1">
      <alignment horizontal="right" vertical="center"/>
    </xf>
    <xf numFmtId="2" fontId="27" fillId="5" borderId="43" xfId="0" applyNumberFormat="1" applyFont="1" applyFill="1" applyBorder="1" applyAlignment="1">
      <alignment vertical="center"/>
    </xf>
    <xf numFmtId="2" fontId="27" fillId="5" borderId="59" xfId="0" applyNumberFormat="1" applyFont="1" applyFill="1" applyBorder="1" applyAlignment="1">
      <alignment vertical="center"/>
    </xf>
    <xf numFmtId="49" fontId="27" fillId="2" borderId="16" xfId="0" applyNumberFormat="1" applyFont="1" applyFill="1" applyBorder="1" applyAlignment="1">
      <alignment vertical="center"/>
    </xf>
    <xf numFmtId="49" fontId="27" fillId="2" borderId="12" xfId="0" applyNumberFormat="1" applyFont="1" applyFill="1" applyBorder="1" applyAlignment="1">
      <alignment vertical="center" wrapText="1"/>
    </xf>
    <xf numFmtId="49" fontId="27" fillId="2" borderId="14" xfId="0" applyNumberFormat="1" applyFont="1" applyFill="1" applyBorder="1" applyAlignment="1">
      <alignment vertical="center" wrapText="1"/>
    </xf>
    <xf numFmtId="167" fontId="27" fillId="5" borderId="58" xfId="0" applyNumberFormat="1" applyFont="1" applyFill="1" applyBorder="1" applyAlignment="1">
      <alignment vertical="center"/>
    </xf>
    <xf numFmtId="9" fontId="27" fillId="5" borderId="58" xfId="0" applyNumberFormat="1" applyFont="1" applyFill="1" applyBorder="1" applyAlignment="1">
      <alignment vertical="center"/>
    </xf>
    <xf numFmtId="165" fontId="31" fillId="2" borderId="4" xfId="0" applyNumberFormat="1" applyFont="1" applyFill="1" applyBorder="1" applyAlignment="1">
      <alignment vertical="center"/>
    </xf>
    <xf numFmtId="9" fontId="28" fillId="2" borderId="63" xfId="0" applyNumberFormat="1" applyFont="1" applyFill="1" applyBorder="1" applyAlignment="1">
      <alignment vertical="center"/>
    </xf>
    <xf numFmtId="167" fontId="28" fillId="2" borderId="39" xfId="0" applyNumberFormat="1" applyFont="1" applyFill="1" applyBorder="1" applyAlignment="1">
      <alignment vertical="center"/>
    </xf>
    <xf numFmtId="167" fontId="28" fillId="5" borderId="63" xfId="0" applyNumberFormat="1" applyFont="1" applyFill="1" applyBorder="1" applyAlignment="1">
      <alignment vertical="center"/>
    </xf>
    <xf numFmtId="167" fontId="28" fillId="5" borderId="39" xfId="0" applyNumberFormat="1" applyFont="1" applyFill="1" applyBorder="1" applyAlignment="1">
      <alignment vertical="center"/>
    </xf>
    <xf numFmtId="167" fontId="28" fillId="5" borderId="51" xfId="0" applyNumberFormat="1" applyFont="1" applyFill="1" applyBorder="1" applyAlignment="1">
      <alignment vertical="center"/>
    </xf>
    <xf numFmtId="167" fontId="28" fillId="2" borderId="51" xfId="0" applyNumberFormat="1" applyFont="1" applyFill="1" applyBorder="1" applyAlignment="1">
      <alignment vertical="center"/>
    </xf>
    <xf numFmtId="9" fontId="28" fillId="5" borderId="63" xfId="0" applyNumberFormat="1" applyFont="1" applyFill="1" applyBorder="1" applyAlignment="1">
      <alignment vertical="center"/>
    </xf>
    <xf numFmtId="9" fontId="28" fillId="4" borderId="62" xfId="0" applyNumberFormat="1" applyFont="1" applyFill="1" applyBorder="1" applyAlignment="1">
      <alignment horizontal="right" vertical="center"/>
    </xf>
    <xf numFmtId="9" fontId="28" fillId="2" borderId="60" xfId="0" applyNumberFormat="1" applyFont="1" applyFill="1" applyBorder="1" applyAlignment="1">
      <alignment vertical="center"/>
    </xf>
    <xf numFmtId="167" fontId="28" fillId="2" borderId="43" xfId="0" applyNumberFormat="1" applyFont="1" applyFill="1" applyBorder="1" applyAlignment="1">
      <alignment vertical="center"/>
    </xf>
    <xf numFmtId="167" fontId="28" fillId="2" borderId="59" xfId="0" applyNumberFormat="1" applyFont="1" applyFill="1" applyBorder="1" applyAlignment="1">
      <alignment vertical="center"/>
    </xf>
    <xf numFmtId="49" fontId="29" fillId="5" borderId="60" xfId="0" applyNumberFormat="1" applyFont="1" applyFill="1" applyBorder="1" applyAlignment="1">
      <alignment horizontal="right" vertical="center"/>
    </xf>
    <xf numFmtId="167" fontId="28" fillId="5" borderId="43" xfId="0" applyNumberFormat="1" applyFont="1" applyFill="1" applyBorder="1" applyAlignment="1">
      <alignment vertical="center"/>
    </xf>
    <xf numFmtId="167" fontId="28" fillId="5" borderId="59" xfId="0" applyNumberFormat="1" applyFont="1" applyFill="1" applyBorder="1" applyAlignment="1">
      <alignment vertical="center"/>
    </xf>
    <xf numFmtId="49" fontId="29" fillId="5" borderId="63" xfId="0" applyNumberFormat="1" applyFont="1" applyFill="1" applyBorder="1" applyAlignment="1">
      <alignment horizontal="right" vertical="center"/>
    </xf>
    <xf numFmtId="165" fontId="28" fillId="2" borderId="21" xfId="0" applyNumberFormat="1" applyFont="1" applyFill="1" applyBorder="1" applyAlignment="1">
      <alignment vertical="center"/>
    </xf>
    <xf numFmtId="9" fontId="31" fillId="4" borderId="62" xfId="0" applyNumberFormat="1" applyFont="1" applyFill="1" applyBorder="1" applyAlignment="1">
      <alignment horizontal="right" vertical="center"/>
    </xf>
    <xf numFmtId="2" fontId="29" fillId="2" borderId="60" xfId="0" applyNumberFormat="1" applyFont="1" applyFill="1" applyBorder="1" applyAlignment="1">
      <alignment horizontal="right" vertical="center"/>
    </xf>
    <xf numFmtId="168" fontId="27" fillId="2" borderId="43" xfId="0" applyNumberFormat="1" applyFont="1" applyFill="1" applyBorder="1" applyAlignment="1">
      <alignment vertical="center"/>
    </xf>
    <xf numFmtId="168" fontId="27" fillId="2" borderId="59" xfId="0" applyNumberFormat="1" applyFont="1" applyFill="1" applyBorder="1" applyAlignment="1">
      <alignment vertical="center"/>
    </xf>
    <xf numFmtId="49" fontId="29" fillId="2" borderId="58" xfId="0" applyNumberFormat="1" applyFont="1" applyFill="1" applyBorder="1" applyAlignment="1">
      <alignment horizontal="right" vertical="center"/>
    </xf>
    <xf numFmtId="168" fontId="27" fillId="2" borderId="46" xfId="0" applyNumberFormat="1" applyFont="1" applyFill="1" applyBorder="1" applyAlignment="1">
      <alignment vertical="center"/>
    </xf>
    <xf numFmtId="168" fontId="27" fillId="2" borderId="57" xfId="0" applyNumberFormat="1" applyFont="1" applyFill="1" applyBorder="1" applyAlignment="1">
      <alignment vertical="center"/>
    </xf>
    <xf numFmtId="49" fontId="29" fillId="2" borderId="4" xfId="0" applyNumberFormat="1" applyFont="1" applyFill="1" applyBorder="1" applyAlignment="1">
      <alignment vertical="center"/>
    </xf>
    <xf numFmtId="165" fontId="27" fillId="2" borderId="8" xfId="0" applyNumberFormat="1" applyFont="1" applyFill="1" applyBorder="1" applyAlignment="1">
      <alignment vertical="center" wrapText="1"/>
    </xf>
    <xf numFmtId="167" fontId="28" fillId="2" borderId="63" xfId="0" applyNumberFormat="1" applyFont="1" applyFill="1" applyBorder="1" applyAlignment="1">
      <alignment vertical="center"/>
    </xf>
    <xf numFmtId="167" fontId="28" fillId="2" borderId="56" xfId="0" applyNumberFormat="1" applyFont="1" applyFill="1" applyBorder="1" applyAlignment="1">
      <alignment vertical="center"/>
    </xf>
    <xf numFmtId="167" fontId="28" fillId="2" borderId="45" xfId="0" applyNumberFormat="1" applyFont="1" applyFill="1" applyBorder="1" applyAlignment="1">
      <alignment vertical="center"/>
    </xf>
    <xf numFmtId="167" fontId="28" fillId="2" borderId="55" xfId="0" applyNumberFormat="1" applyFont="1" applyFill="1" applyBorder="1" applyAlignment="1">
      <alignment vertical="center"/>
    </xf>
    <xf numFmtId="49" fontId="31" fillId="2" borderId="19" xfId="0" applyNumberFormat="1" applyFont="1" applyFill="1" applyBorder="1" applyAlignment="1">
      <alignment vertical="center"/>
    </xf>
    <xf numFmtId="15" fontId="32" fillId="3" borderId="15" xfId="0" applyNumberFormat="1" applyFont="1" applyFill="1" applyBorder="1" applyAlignment="1">
      <alignment horizontal="center" vertical="center"/>
    </xf>
    <xf numFmtId="49" fontId="31" fillId="4" borderId="67" xfId="0" applyNumberFormat="1" applyFont="1" applyFill="1" applyBorder="1" applyAlignment="1">
      <alignment horizontal="center" vertical="center"/>
    </xf>
    <xf numFmtId="49" fontId="31" fillId="4" borderId="44" xfId="0" applyNumberFormat="1" applyFont="1" applyFill="1" applyBorder="1" applyAlignment="1">
      <alignment horizontal="center" vertical="center"/>
    </xf>
    <xf numFmtId="49" fontId="31" fillId="4" borderId="59" xfId="0" applyNumberFormat="1" applyFont="1" applyFill="1" applyBorder="1" applyAlignment="1">
      <alignment horizontal="center" vertical="center"/>
    </xf>
    <xf numFmtId="15" fontId="32" fillId="3" borderId="0" xfId="0" applyNumberFormat="1" applyFont="1" applyFill="1" applyBorder="1" applyAlignment="1">
      <alignment horizontal="center" vertical="center"/>
    </xf>
    <xf numFmtId="49" fontId="31" fillId="4" borderId="43" xfId="0" applyNumberFormat="1" applyFont="1" applyFill="1" applyBorder="1" applyAlignment="1">
      <alignment horizontal="center" vertical="center"/>
    </xf>
    <xf numFmtId="49" fontId="31" fillId="4" borderId="54" xfId="0" applyNumberFormat="1" applyFont="1" applyFill="1" applyBorder="1" applyAlignment="1">
      <alignment horizontal="center" vertical="center"/>
    </xf>
    <xf numFmtId="49" fontId="31" fillId="4" borderId="42" xfId="0" applyNumberFormat="1" applyFont="1" applyFill="1" applyBorder="1" applyAlignment="1">
      <alignment horizontal="center" vertical="center"/>
    </xf>
    <xf numFmtId="49" fontId="31" fillId="4" borderId="41" xfId="0" applyNumberFormat="1" applyFont="1" applyFill="1" applyBorder="1" applyAlignment="1">
      <alignment horizontal="center" vertical="center"/>
    </xf>
    <xf numFmtId="49" fontId="31" fillId="4" borderId="53" xfId="0" applyNumberFormat="1" applyFont="1" applyFill="1" applyBorder="1" applyAlignment="1">
      <alignment horizontal="center" vertical="center"/>
    </xf>
    <xf numFmtId="165" fontId="34" fillId="4" borderId="18" xfId="0" applyNumberFormat="1" applyFont="1" applyFill="1" applyBorder="1" applyAlignment="1">
      <alignment vertical="center"/>
    </xf>
    <xf numFmtId="167" fontId="32" fillId="3" borderId="15" xfId="0" applyNumberFormat="1" applyFont="1" applyFill="1" applyBorder="1" applyAlignment="1">
      <alignment horizontal="center" vertical="center"/>
    </xf>
    <xf numFmtId="49" fontId="31" fillId="4" borderId="51" xfId="0" applyNumberFormat="1" applyFont="1" applyFill="1" applyBorder="1" applyAlignment="1">
      <alignment horizontal="center" vertical="center" wrapText="1"/>
    </xf>
    <xf numFmtId="167" fontId="32" fillId="3" borderId="0" xfId="0" applyNumberFormat="1" applyFont="1" applyFill="1" applyBorder="1" applyAlignment="1">
      <alignment horizontal="center" vertical="center"/>
    </xf>
    <xf numFmtId="49" fontId="31" fillId="4" borderId="39" xfId="0" applyNumberFormat="1" applyFont="1" applyFill="1" applyBorder="1" applyAlignment="1">
      <alignment horizontal="center" vertical="center"/>
    </xf>
    <xf numFmtId="49" fontId="31" fillId="4" borderId="51" xfId="0" applyNumberFormat="1" applyFont="1" applyFill="1" applyBorder="1" applyAlignment="1">
      <alignment horizontal="center" vertical="center"/>
    </xf>
    <xf numFmtId="49" fontId="31" fillId="4" borderId="9" xfId="0" applyNumberFormat="1" applyFont="1" applyFill="1" applyBorder="1" applyAlignment="1">
      <alignment vertical="center"/>
    </xf>
    <xf numFmtId="165" fontId="35" fillId="3" borderId="23" xfId="0" applyNumberFormat="1" applyFont="1" applyFill="1" applyBorder="1" applyAlignment="1">
      <alignment horizontal="center" vertical="center" wrapText="1"/>
    </xf>
    <xf numFmtId="165" fontId="35" fillId="3" borderId="33" xfId="0" applyNumberFormat="1" applyFont="1" applyFill="1" applyBorder="1" applyAlignment="1">
      <alignment horizontal="center" vertical="center" wrapText="1"/>
    </xf>
    <xf numFmtId="165" fontId="31" fillId="4" borderId="17" xfId="0" applyNumberFormat="1" applyFont="1" applyFill="1" applyBorder="1" applyAlignment="1">
      <alignment vertical="center"/>
    </xf>
    <xf numFmtId="165" fontId="27" fillId="2" borderId="38" xfId="0" applyNumberFormat="1" applyFont="1" applyFill="1" applyBorder="1" applyAlignment="1">
      <alignment vertical="center" wrapText="1"/>
    </xf>
    <xf numFmtId="165" fontId="27" fillId="2" borderId="7" xfId="0" applyNumberFormat="1" applyFont="1" applyFill="1" applyBorder="1" applyAlignment="1">
      <alignment vertical="center"/>
    </xf>
    <xf numFmtId="165" fontId="27" fillId="2" borderId="0" xfId="0" applyNumberFormat="1" applyFont="1" applyFill="1" applyBorder="1" applyAlignment="1">
      <alignment vertical="center"/>
    </xf>
    <xf numFmtId="10" fontId="27" fillId="2" borderId="0" xfId="0" applyNumberFormat="1" applyFont="1" applyFill="1" applyBorder="1" applyAlignment="1">
      <alignment vertical="center"/>
    </xf>
    <xf numFmtId="3" fontId="27" fillId="2" borderId="0" xfId="0" applyNumberFormat="1" applyFont="1" applyFill="1" applyBorder="1" applyAlignment="1">
      <alignment vertical="center"/>
    </xf>
    <xf numFmtId="165" fontId="36" fillId="2" borderId="0" xfId="0" applyNumberFormat="1" applyFont="1" applyFill="1" applyBorder="1" applyAlignment="1">
      <alignment vertical="center"/>
    </xf>
    <xf numFmtId="165" fontId="32" fillId="2" borderId="6" xfId="0" applyNumberFormat="1" applyFont="1" applyFill="1" applyBorder="1" applyAlignment="1">
      <alignment horizontal="center" vertical="center"/>
    </xf>
    <xf numFmtId="165" fontId="34" fillId="2" borderId="5" xfId="0" applyNumberFormat="1" applyFont="1" applyFill="1" applyBorder="1" applyAlignment="1">
      <alignment vertical="center" wrapText="1"/>
    </xf>
    <xf numFmtId="165" fontId="34" fillId="2" borderId="0" xfId="0" applyNumberFormat="1" applyFont="1" applyFill="1" applyBorder="1" applyAlignment="1">
      <alignment vertical="center"/>
    </xf>
    <xf numFmtId="10" fontId="34" fillId="2" borderId="0" xfId="0" applyNumberFormat="1" applyFont="1" applyFill="1" applyBorder="1" applyAlignment="1">
      <alignment vertical="center"/>
    </xf>
    <xf numFmtId="165" fontId="37" fillId="5" borderId="0" xfId="0" applyNumberFormat="1" applyFont="1" applyFill="1" applyBorder="1" applyAlignment="1">
      <alignment vertical="center"/>
    </xf>
    <xf numFmtId="165" fontId="34" fillId="5" borderId="0" xfId="0" applyNumberFormat="1" applyFont="1" applyFill="1" applyBorder="1" applyAlignment="1">
      <alignment vertical="center"/>
    </xf>
    <xf numFmtId="165" fontId="37" fillId="5" borderId="0" xfId="0" applyNumberFormat="1" applyFont="1" applyFill="1" applyBorder="1" applyAlignment="1">
      <alignment horizontal="left" vertical="center"/>
    </xf>
    <xf numFmtId="165" fontId="37" fillId="2" borderId="0" xfId="0" applyNumberFormat="1" applyFont="1" applyFill="1" applyBorder="1" applyAlignment="1">
      <alignment horizontal="left" vertical="center"/>
    </xf>
    <xf numFmtId="49" fontId="38" fillId="5" borderId="0" xfId="0" applyNumberFormat="1" applyFont="1" applyFill="1" applyBorder="1" applyAlignment="1">
      <alignment vertical="center"/>
    </xf>
    <xf numFmtId="10" fontId="31" fillId="2" borderId="0" xfId="0" applyNumberFormat="1" applyFont="1" applyFill="1" applyBorder="1" applyAlignment="1">
      <alignment vertical="center"/>
    </xf>
    <xf numFmtId="165" fontId="31" fillId="2" borderId="0" xfId="0" applyNumberFormat="1" applyFont="1" applyFill="1" applyBorder="1" applyAlignment="1">
      <alignment vertical="center"/>
    </xf>
    <xf numFmtId="165" fontId="38" fillId="5" borderId="0" xfId="0" applyNumberFormat="1" applyFont="1" applyFill="1" applyBorder="1" applyAlignment="1">
      <alignment vertical="center"/>
    </xf>
    <xf numFmtId="165" fontId="27" fillId="2" borderId="5" xfId="0" applyNumberFormat="1" applyFont="1" applyFill="1" applyBorder="1" applyAlignment="1">
      <alignment vertical="center" wrapText="1"/>
    </xf>
    <xf numFmtId="165" fontId="39" fillId="5" borderId="0" xfId="0" applyNumberFormat="1" applyFont="1" applyFill="1" applyBorder="1" applyAlignment="1">
      <alignment vertical="center"/>
    </xf>
    <xf numFmtId="165" fontId="27" fillId="5" borderId="0" xfId="0" applyNumberFormat="1" applyFont="1" applyFill="1" applyBorder="1" applyAlignment="1">
      <alignment vertical="center"/>
    </xf>
    <xf numFmtId="165" fontId="39" fillId="5" borderId="0" xfId="0" applyNumberFormat="1" applyFont="1" applyFill="1" applyBorder="1" applyAlignment="1">
      <alignment horizontal="left" vertical="center"/>
    </xf>
    <xf numFmtId="165" fontId="39" fillId="2" borderId="0" xfId="0" applyNumberFormat="1" applyFont="1" applyFill="1" applyBorder="1" applyAlignment="1">
      <alignment horizontal="left" vertical="center"/>
    </xf>
    <xf numFmtId="165" fontId="40" fillId="5" borderId="0" xfId="0" applyNumberFormat="1" applyFont="1" applyFill="1" applyBorder="1" applyAlignment="1">
      <alignment vertical="center"/>
    </xf>
    <xf numFmtId="49" fontId="40" fillId="5" borderId="0" xfId="0" applyNumberFormat="1" applyFont="1" applyFill="1" applyBorder="1" applyAlignment="1">
      <alignment vertical="center"/>
    </xf>
    <xf numFmtId="49" fontId="38" fillId="5" borderId="0" xfId="0" applyNumberFormat="1" applyFont="1" applyFill="1" applyBorder="1" applyAlignment="1">
      <alignment horizontal="center" vertical="center"/>
    </xf>
    <xf numFmtId="165" fontId="38" fillId="2" borderId="0" xfId="0" applyNumberFormat="1" applyFont="1" applyFill="1" applyBorder="1" applyAlignment="1">
      <alignment vertical="center"/>
    </xf>
    <xf numFmtId="165" fontId="28" fillId="2" borderId="0" xfId="0" applyNumberFormat="1" applyFont="1" applyFill="1" applyBorder="1" applyAlignment="1">
      <alignment vertical="center"/>
    </xf>
    <xf numFmtId="165" fontId="40" fillId="5" borderId="0" xfId="0" applyNumberFormat="1" applyFont="1" applyFill="1" applyBorder="1" applyAlignment="1">
      <alignment horizontal="center" vertical="center"/>
    </xf>
    <xf numFmtId="165" fontId="40" fillId="2" borderId="0" xfId="0" applyNumberFormat="1" applyFont="1" applyFill="1" applyBorder="1" applyAlignment="1">
      <alignment vertical="center"/>
    </xf>
    <xf numFmtId="165" fontId="28" fillId="5" borderId="0" xfId="0" applyNumberFormat="1" applyFont="1" applyFill="1" applyBorder="1" applyAlignment="1">
      <alignment vertical="center"/>
    </xf>
    <xf numFmtId="165" fontId="27" fillId="5" borderId="4" xfId="0" applyNumberFormat="1" applyFont="1" applyFill="1" applyBorder="1" applyAlignment="1">
      <alignment vertical="center"/>
    </xf>
    <xf numFmtId="165" fontId="27" fillId="2" borderId="3" xfId="0" applyNumberFormat="1" applyFont="1" applyFill="1" applyBorder="1" applyAlignment="1">
      <alignment vertical="center" wrapText="1"/>
    </xf>
    <xf numFmtId="165" fontId="27" fillId="2" borderId="2" xfId="0" applyNumberFormat="1" applyFont="1" applyFill="1" applyBorder="1" applyAlignment="1">
      <alignment vertical="center"/>
    </xf>
    <xf numFmtId="165" fontId="40" fillId="5" borderId="2" xfId="0" applyNumberFormat="1" applyFont="1" applyFill="1" applyBorder="1" applyAlignment="1">
      <alignment horizontal="center" vertical="center"/>
    </xf>
    <xf numFmtId="165" fontId="27" fillId="5" borderId="2" xfId="0" applyNumberFormat="1" applyFont="1" applyFill="1" applyBorder="1" applyAlignment="1">
      <alignment vertical="center"/>
    </xf>
    <xf numFmtId="165" fontId="40" fillId="5" borderId="2" xfId="0" applyNumberFormat="1" applyFont="1" applyFill="1" applyBorder="1" applyAlignment="1">
      <alignment vertical="center"/>
    </xf>
    <xf numFmtId="165" fontId="40" fillId="2" borderId="2" xfId="0" applyNumberFormat="1" applyFont="1" applyFill="1" applyBorder="1" applyAlignment="1">
      <alignment vertical="center"/>
    </xf>
    <xf numFmtId="167" fontId="0" fillId="0" borderId="0" xfId="0" applyNumberFormat="1" applyFont="1" applyAlignment="1"/>
    <xf numFmtId="165" fontId="41" fillId="2" borderId="6" xfId="0" applyNumberFormat="1" applyFont="1" applyFill="1" applyBorder="1" applyAlignment="1">
      <alignment horizontal="center" vertical="center"/>
    </xf>
    <xf numFmtId="3" fontId="0" fillId="0" borderId="26" xfId="0" applyNumberFormat="1" applyFont="1" applyFill="1" applyBorder="1" applyAlignment="1"/>
    <xf numFmtId="164" fontId="0" fillId="0" borderId="0" xfId="2" applyFont="1" applyAlignment="1"/>
    <xf numFmtId="164" fontId="0" fillId="0" borderId="0" xfId="0" applyNumberFormat="1" applyFont="1" applyAlignment="1"/>
    <xf numFmtId="3" fontId="4" fillId="4" borderId="32" xfId="0" applyNumberFormat="1" applyFont="1" applyFill="1" applyBorder="1" applyAlignment="1"/>
    <xf numFmtId="3" fontId="6" fillId="2" borderId="25" xfId="0" applyNumberFormat="1" applyFont="1" applyFill="1" applyBorder="1" applyAlignment="1"/>
    <xf numFmtId="3" fontId="4" fillId="4" borderId="36" xfId="0" applyNumberFormat="1" applyFont="1" applyFill="1" applyBorder="1" applyAlignment="1"/>
    <xf numFmtId="3" fontId="0" fillId="5" borderId="26" xfId="0" applyNumberFormat="1" applyFont="1" applyFill="1" applyBorder="1" applyAlignment="1"/>
    <xf numFmtId="3" fontId="4" fillId="4" borderId="34" xfId="0" applyNumberFormat="1" applyFont="1" applyFill="1" applyBorder="1" applyAlignment="1"/>
    <xf numFmtId="3" fontId="4" fillId="4" borderId="29" xfId="0" applyNumberFormat="1" applyFont="1" applyFill="1" applyBorder="1" applyAlignment="1"/>
    <xf numFmtId="3" fontId="0" fillId="2" borderId="67" xfId="0" applyNumberFormat="1" applyFont="1" applyFill="1" applyBorder="1" applyAlignment="1"/>
    <xf numFmtId="3" fontId="0" fillId="2" borderId="83" xfId="0" applyNumberFormat="1" applyFont="1" applyFill="1" applyBorder="1" applyAlignment="1"/>
    <xf numFmtId="3" fontId="0" fillId="5" borderId="34" xfId="0" applyNumberFormat="1" applyFont="1" applyFill="1" applyBorder="1" applyAlignment="1"/>
    <xf numFmtId="3" fontId="0" fillId="2" borderId="76" xfId="0" applyNumberFormat="1" applyFont="1" applyFill="1" applyBorder="1" applyAlignment="1"/>
    <xf numFmtId="3" fontId="0" fillId="5" borderId="0" xfId="0" applyNumberFormat="1" applyFont="1" applyFill="1" applyBorder="1" applyAlignment="1"/>
    <xf numFmtId="3" fontId="6" fillId="2" borderId="76" xfId="0" applyNumberFormat="1" applyFont="1" applyFill="1" applyBorder="1" applyAlignment="1"/>
    <xf numFmtId="3" fontId="6" fillId="5" borderId="0" xfId="0" applyNumberFormat="1" applyFont="1" applyFill="1" applyBorder="1" applyAlignment="1"/>
    <xf numFmtId="3" fontId="0" fillId="2" borderId="52" xfId="0" applyNumberFormat="1" applyFont="1" applyFill="1" applyBorder="1" applyAlignment="1"/>
    <xf numFmtId="3" fontId="0" fillId="2" borderId="25" xfId="0" applyNumberFormat="1" applyFont="1" applyFill="1" applyBorder="1" applyAlignment="1"/>
    <xf numFmtId="3" fontId="0" fillId="5" borderId="36" xfId="0" applyNumberFormat="1" applyFont="1" applyFill="1" applyBorder="1" applyAlignment="1"/>
    <xf numFmtId="3" fontId="4" fillId="4" borderId="31" xfId="0" applyNumberFormat="1" applyFont="1" applyFill="1" applyBorder="1" applyAlignment="1"/>
    <xf numFmtId="3" fontId="4" fillId="2" borderId="0" xfId="0" applyNumberFormat="1" applyFont="1" applyFill="1" applyBorder="1" applyAlignment="1"/>
    <xf numFmtId="3" fontId="4" fillId="4" borderId="67" xfId="0" applyNumberFormat="1" applyFont="1" applyFill="1" applyBorder="1" applyAlignment="1"/>
    <xf numFmtId="3" fontId="4" fillId="4" borderId="84" xfId="0" applyNumberFormat="1" applyFont="1" applyFill="1" applyBorder="1" applyAlignment="1"/>
    <xf numFmtId="3" fontId="0" fillId="0" borderId="76" xfId="0" applyNumberFormat="1" applyFont="1" applyFill="1" applyBorder="1" applyAlignment="1"/>
    <xf numFmtId="164" fontId="19" fillId="0" borderId="0" xfId="2" applyFont="1" applyAlignment="1"/>
    <xf numFmtId="4" fontId="6" fillId="2" borderId="31" xfId="0" applyNumberFormat="1" applyFont="1" applyFill="1" applyBorder="1" applyAlignment="1"/>
    <xf numFmtId="164" fontId="9" fillId="0" borderId="0" xfId="2" applyFont="1" applyAlignment="1"/>
    <xf numFmtId="164" fontId="0" fillId="0" borderId="0" xfId="2" applyFont="1" applyFill="1" applyAlignment="1"/>
    <xf numFmtId="167" fontId="0" fillId="0" borderId="0" xfId="0" applyNumberFormat="1" applyFont="1" applyFill="1" applyAlignment="1"/>
    <xf numFmtId="167" fontId="0" fillId="0" borderId="11" xfId="0" applyNumberFormat="1" applyFont="1" applyFill="1" applyBorder="1" applyAlignment="1">
      <alignment vertical="center" wrapText="1"/>
    </xf>
    <xf numFmtId="9" fontId="4" fillId="0" borderId="24" xfId="0" applyNumberFormat="1" applyFont="1" applyFill="1" applyBorder="1" applyAlignment="1">
      <alignment vertical="center"/>
    </xf>
    <xf numFmtId="9" fontId="6" fillId="0" borderId="66" xfId="0" applyNumberFormat="1" applyFont="1" applyFill="1" applyBorder="1" applyAlignment="1">
      <alignment horizontal="right" vertical="center"/>
    </xf>
    <xf numFmtId="167" fontId="4" fillId="0" borderId="65" xfId="0" applyNumberFormat="1" applyFont="1" applyFill="1" applyBorder="1" applyAlignment="1">
      <alignment vertical="center"/>
    </xf>
    <xf numFmtId="167" fontId="4" fillId="0" borderId="64" xfId="0" applyNumberFormat="1" applyFont="1" applyFill="1" applyBorder="1" applyAlignment="1">
      <alignment vertical="center"/>
    </xf>
    <xf numFmtId="9" fontId="4" fillId="0" borderId="7" xfId="0" applyNumberFormat="1" applyFont="1" applyFill="1" applyBorder="1" applyAlignment="1">
      <alignment vertical="center"/>
    </xf>
    <xf numFmtId="9" fontId="11" fillId="0" borderId="66" xfId="0" applyNumberFormat="1" applyFont="1" applyFill="1" applyBorder="1" applyAlignment="1">
      <alignment horizontal="right" vertical="center"/>
    </xf>
    <xf numFmtId="167" fontId="10" fillId="0" borderId="65" xfId="0" applyNumberFormat="1" applyFont="1" applyFill="1" applyBorder="1" applyAlignment="1">
      <alignment vertical="center"/>
    </xf>
    <xf numFmtId="167" fontId="10" fillId="0" borderId="64" xfId="0" applyNumberFormat="1" applyFont="1" applyFill="1" applyBorder="1" applyAlignment="1">
      <alignment vertical="center"/>
    </xf>
    <xf numFmtId="169" fontId="10" fillId="0" borderId="65" xfId="2" applyNumberFormat="1" applyFont="1" applyFill="1" applyBorder="1" applyAlignment="1">
      <alignment vertical="center"/>
    </xf>
    <xf numFmtId="165" fontId="0" fillId="0" borderId="15" xfId="0" applyNumberFormat="1" applyFont="1" applyFill="1" applyBorder="1" applyAlignment="1">
      <alignment vertical="center"/>
    </xf>
    <xf numFmtId="165" fontId="0" fillId="0" borderId="60" xfId="0" applyNumberFormat="1" applyFont="1" applyFill="1" applyBorder="1" applyAlignment="1">
      <alignment vertical="center"/>
    </xf>
    <xf numFmtId="165" fontId="0" fillId="0" borderId="43" xfId="0" applyNumberFormat="1" applyFont="1" applyFill="1" applyBorder="1" applyAlignment="1">
      <alignment vertical="center"/>
    </xf>
    <xf numFmtId="165" fontId="0" fillId="0" borderId="59" xfId="0" applyNumberFormat="1" applyFont="1" applyFill="1" applyBorder="1" applyAlignment="1">
      <alignment vertical="center"/>
    </xf>
    <xf numFmtId="164" fontId="0" fillId="0" borderId="43" xfId="2" applyFont="1" applyFill="1" applyBorder="1" applyAlignment="1">
      <alignment vertical="center"/>
    </xf>
    <xf numFmtId="164" fontId="0" fillId="0" borderId="46" xfId="2" applyFont="1" applyFill="1" applyBorder="1" applyAlignment="1">
      <alignment vertical="center"/>
    </xf>
    <xf numFmtId="167" fontId="0" fillId="0" borderId="51" xfId="0" applyNumberFormat="1" applyFont="1" applyFill="1" applyBorder="1" applyAlignment="1">
      <alignment vertical="center"/>
    </xf>
    <xf numFmtId="167" fontId="0" fillId="0" borderId="39" xfId="0" applyNumberFormat="1" applyFont="1" applyFill="1" applyBorder="1" applyAlignment="1">
      <alignment vertical="center"/>
    </xf>
    <xf numFmtId="164" fontId="0" fillId="0" borderId="39" xfId="2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 wrapText="1"/>
    </xf>
    <xf numFmtId="9" fontId="6" fillId="0" borderId="62" xfId="0" applyNumberFormat="1" applyFont="1" applyFill="1" applyBorder="1" applyAlignment="1">
      <alignment horizontal="right" vertical="center"/>
    </xf>
    <xf numFmtId="164" fontId="10" fillId="0" borderId="47" xfId="2" applyFont="1" applyFill="1" applyBorder="1" applyAlignment="1">
      <alignment vertical="center"/>
    </xf>
    <xf numFmtId="167" fontId="4" fillId="0" borderId="15" xfId="0" applyNumberFormat="1" applyFont="1" applyFill="1" applyBorder="1" applyAlignment="1">
      <alignment vertical="center"/>
    </xf>
    <xf numFmtId="167" fontId="0" fillId="0" borderId="61" xfId="0" applyNumberFormat="1" applyFont="1" applyFill="1" applyBorder="1" applyAlignment="1">
      <alignment vertical="center"/>
    </xf>
    <xf numFmtId="167" fontId="0" fillId="0" borderId="47" xfId="0" applyNumberFormat="1" applyFont="1" applyFill="1" applyBorder="1" applyAlignment="1">
      <alignment vertical="center"/>
    </xf>
    <xf numFmtId="164" fontId="4" fillId="0" borderId="47" xfId="2" applyFont="1" applyFill="1" applyBorder="1" applyAlignment="1">
      <alignment vertical="center"/>
    </xf>
    <xf numFmtId="9" fontId="4" fillId="0" borderId="15" xfId="0" applyNumberFormat="1" applyFont="1" applyFill="1" applyBorder="1" applyAlignment="1">
      <alignment vertical="center"/>
    </xf>
    <xf numFmtId="49" fontId="6" fillId="0" borderId="60" xfId="0" applyNumberFormat="1" applyFont="1" applyFill="1" applyBorder="1" applyAlignment="1">
      <alignment horizontal="right" vertical="center"/>
    </xf>
    <xf numFmtId="167" fontId="0" fillId="0" borderId="43" xfId="0" applyNumberFormat="1" applyFont="1" applyFill="1" applyBorder="1" applyAlignment="1">
      <alignment vertical="center"/>
    </xf>
    <xf numFmtId="167" fontId="0" fillId="0" borderId="59" xfId="0" applyNumberFormat="1" applyFont="1" applyFill="1" applyBorder="1" applyAlignment="1">
      <alignment vertical="center"/>
    </xf>
    <xf numFmtId="9" fontId="6" fillId="0" borderId="60" xfId="0" applyNumberFormat="1" applyFont="1" applyFill="1" applyBorder="1" applyAlignment="1">
      <alignment horizontal="right" vertical="center"/>
    </xf>
    <xf numFmtId="168" fontId="0" fillId="0" borderId="46" xfId="0" applyNumberFormat="1" applyFont="1" applyFill="1" applyBorder="1" applyAlignment="1">
      <alignment vertical="center"/>
    </xf>
    <xf numFmtId="168" fontId="0" fillId="0" borderId="57" xfId="0" applyNumberFormat="1" applyFont="1" applyFill="1" applyBorder="1" applyAlignment="1">
      <alignment vertical="center"/>
    </xf>
    <xf numFmtId="0" fontId="19" fillId="0" borderId="0" xfId="0" applyFont="1" applyFill="1"/>
    <xf numFmtId="9" fontId="0" fillId="0" borderId="58" xfId="0" applyNumberFormat="1" applyFont="1" applyFill="1" applyBorder="1" applyAlignment="1">
      <alignment vertical="center"/>
    </xf>
    <xf numFmtId="167" fontId="4" fillId="0" borderId="57" xfId="0" applyNumberFormat="1" applyFont="1" applyFill="1" applyBorder="1" applyAlignment="1">
      <alignment vertical="center"/>
    </xf>
    <xf numFmtId="167" fontId="4" fillId="0" borderId="46" xfId="0" applyNumberFormat="1" applyFont="1" applyFill="1" applyBorder="1" applyAlignment="1">
      <alignment vertical="center"/>
    </xf>
    <xf numFmtId="167" fontId="4" fillId="0" borderId="58" xfId="0" applyNumberFormat="1" applyFont="1" applyFill="1" applyBorder="1" applyAlignment="1">
      <alignment vertical="center"/>
    </xf>
    <xf numFmtId="164" fontId="4" fillId="0" borderId="46" xfId="2" applyFont="1" applyFill="1" applyBorder="1" applyAlignment="1">
      <alignment vertical="center"/>
    </xf>
    <xf numFmtId="167" fontId="0" fillId="0" borderId="15" xfId="0" applyNumberFormat="1" applyFont="1" applyFill="1" applyBorder="1" applyAlignment="1">
      <alignment vertical="center"/>
    </xf>
    <xf numFmtId="9" fontId="0" fillId="0" borderId="63" xfId="0" applyNumberFormat="1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vertical="center"/>
    </xf>
    <xf numFmtId="167" fontId="0" fillId="0" borderId="63" xfId="0" applyNumberFormat="1" applyFont="1" applyFill="1" applyBorder="1" applyAlignment="1">
      <alignment vertical="center"/>
    </xf>
    <xf numFmtId="167" fontId="0" fillId="0" borderId="14" xfId="0" applyNumberFormat="1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vertical="center" wrapText="1"/>
    </xf>
    <xf numFmtId="49" fontId="0" fillId="0" borderId="14" xfId="0" applyNumberFormat="1" applyFont="1" applyFill="1" applyBorder="1" applyAlignment="1">
      <alignment vertical="center" wrapText="1"/>
    </xf>
    <xf numFmtId="49" fontId="0" fillId="0" borderId="12" xfId="0" applyNumberFormat="1" applyFont="1" applyFill="1" applyBorder="1" applyAlignment="1">
      <alignment vertical="center" wrapText="1"/>
    </xf>
    <xf numFmtId="167" fontId="0" fillId="0" borderId="58" xfId="0" applyNumberFormat="1" applyFont="1" applyFill="1" applyBorder="1" applyAlignment="1">
      <alignment vertical="center"/>
    </xf>
    <xf numFmtId="168" fontId="0" fillId="0" borderId="58" xfId="0" applyNumberFormat="1" applyFont="1" applyFill="1" applyBorder="1" applyAlignment="1">
      <alignment vertical="center"/>
    </xf>
    <xf numFmtId="167" fontId="4" fillId="0" borderId="63" xfId="0" applyNumberFormat="1" applyFont="1" applyFill="1" applyBorder="1" applyAlignment="1">
      <alignment vertical="center"/>
    </xf>
    <xf numFmtId="167" fontId="4" fillId="0" borderId="39" xfId="0" applyNumberFormat="1" applyFont="1" applyFill="1" applyBorder="1" applyAlignment="1">
      <alignment vertical="center"/>
    </xf>
    <xf numFmtId="167" fontId="4" fillId="0" borderId="51" xfId="0" applyNumberFormat="1" applyFont="1" applyFill="1" applyBorder="1" applyAlignment="1">
      <alignment vertical="center"/>
    </xf>
    <xf numFmtId="164" fontId="4" fillId="0" borderId="39" xfId="2" applyFont="1" applyFill="1" applyBorder="1" applyAlignment="1">
      <alignment vertical="center"/>
    </xf>
    <xf numFmtId="9" fontId="4" fillId="0" borderId="62" xfId="0" applyNumberFormat="1" applyFont="1" applyFill="1" applyBorder="1" applyAlignment="1">
      <alignment horizontal="right" vertical="center"/>
    </xf>
    <xf numFmtId="167" fontId="4" fillId="0" borderId="60" xfId="0" applyNumberFormat="1" applyFont="1" applyFill="1" applyBorder="1" applyAlignment="1">
      <alignment vertical="center"/>
    </xf>
    <xf numFmtId="167" fontId="4" fillId="0" borderId="43" xfId="0" applyNumberFormat="1" applyFont="1" applyFill="1" applyBorder="1" applyAlignment="1">
      <alignment vertical="center"/>
    </xf>
    <xf numFmtId="167" fontId="4" fillId="0" borderId="59" xfId="0" applyNumberFormat="1" applyFont="1" applyFill="1" applyBorder="1" applyAlignment="1">
      <alignment vertical="center"/>
    </xf>
    <xf numFmtId="9" fontId="0" fillId="0" borderId="60" xfId="0" applyNumberFormat="1" applyFont="1" applyFill="1" applyBorder="1" applyAlignment="1">
      <alignment vertical="center"/>
    </xf>
    <xf numFmtId="164" fontId="4" fillId="0" borderId="43" xfId="2" applyFont="1" applyFill="1" applyBorder="1" applyAlignment="1">
      <alignment vertical="center"/>
    </xf>
    <xf numFmtId="49" fontId="6" fillId="0" borderId="63" xfId="0" applyNumberFormat="1" applyFont="1" applyFill="1" applyBorder="1" applyAlignment="1">
      <alignment horizontal="right" vertical="center"/>
    </xf>
    <xf numFmtId="9" fontId="10" fillId="0" borderId="62" xfId="0" applyNumberFormat="1" applyFont="1" applyFill="1" applyBorder="1" applyAlignment="1">
      <alignment horizontal="right" vertical="center"/>
    </xf>
    <xf numFmtId="168" fontId="0" fillId="0" borderId="43" xfId="0" applyNumberFormat="1" applyFont="1" applyFill="1" applyBorder="1" applyAlignment="1">
      <alignment vertical="center"/>
    </xf>
    <xf numFmtId="168" fontId="0" fillId="0" borderId="59" xfId="0" applyNumberFormat="1" applyFont="1" applyFill="1" applyBorder="1" applyAlignment="1">
      <alignment vertical="center"/>
    </xf>
    <xf numFmtId="165" fontId="0" fillId="0" borderId="8" xfId="0" applyNumberFormat="1" applyFont="1" applyFill="1" applyBorder="1" applyAlignment="1">
      <alignment vertical="center" wrapText="1"/>
    </xf>
    <xf numFmtId="167" fontId="4" fillId="0" borderId="56" xfId="0" applyNumberFormat="1" applyFont="1" applyFill="1" applyBorder="1" applyAlignment="1">
      <alignment vertical="center"/>
    </xf>
    <xf numFmtId="167" fontId="4" fillId="0" borderId="45" xfId="0" applyNumberFormat="1" applyFont="1" applyFill="1" applyBorder="1" applyAlignment="1">
      <alignment vertical="center"/>
    </xf>
    <xf numFmtId="164" fontId="4" fillId="0" borderId="45" xfId="2" applyFont="1" applyFill="1" applyBorder="1" applyAlignment="1">
      <alignment vertical="center"/>
    </xf>
    <xf numFmtId="167" fontId="4" fillId="0" borderId="55" xfId="0" applyNumberFormat="1" applyFont="1" applyFill="1" applyBorder="1" applyAlignment="1">
      <alignment vertical="center"/>
    </xf>
    <xf numFmtId="15" fontId="5" fillId="0" borderId="15" xfId="0" applyNumberFormat="1" applyFont="1" applyFill="1" applyBorder="1" applyAlignment="1">
      <alignment horizontal="center" vertical="center"/>
    </xf>
    <xf numFmtId="49" fontId="10" fillId="0" borderId="67" xfId="0" applyNumberFormat="1" applyFont="1" applyFill="1" applyBorder="1" applyAlignment="1">
      <alignment horizontal="center" vertical="center"/>
    </xf>
    <xf numFmtId="49" fontId="10" fillId="0" borderId="44" xfId="0" applyNumberFormat="1" applyFont="1" applyFill="1" applyBorder="1" applyAlignment="1">
      <alignment horizontal="center" vertical="center"/>
    </xf>
    <xf numFmtId="49" fontId="10" fillId="0" borderId="59" xfId="0" applyNumberFormat="1" applyFont="1" applyFill="1" applyBorder="1" applyAlignment="1">
      <alignment horizontal="center" vertical="center"/>
    </xf>
    <xf numFmtId="15" fontId="5" fillId="0" borderId="0" xfId="0" applyNumberFormat="1" applyFont="1" applyFill="1" applyBorder="1" applyAlignment="1">
      <alignment horizontal="center" vertical="center"/>
    </xf>
    <xf numFmtId="49" fontId="10" fillId="0" borderId="43" xfId="0" applyNumberFormat="1" applyFont="1" applyFill="1" applyBorder="1" applyAlignment="1">
      <alignment horizontal="center" vertical="center"/>
    </xf>
    <xf numFmtId="49" fontId="10" fillId="0" borderId="54" xfId="0" applyNumberFormat="1" applyFont="1" applyFill="1" applyBorder="1" applyAlignment="1">
      <alignment horizontal="center" vertical="center"/>
    </xf>
    <xf numFmtId="49" fontId="10" fillId="0" borderId="42" xfId="0" applyNumberFormat="1" applyFont="1" applyFill="1" applyBorder="1" applyAlignment="1">
      <alignment horizontal="center" vertical="center"/>
    </xf>
    <xf numFmtId="164" fontId="10" fillId="0" borderId="41" xfId="2" applyFont="1" applyFill="1" applyBorder="1" applyAlignment="1">
      <alignment horizontal="center" vertical="center"/>
    </xf>
    <xf numFmtId="49" fontId="10" fillId="0" borderId="53" xfId="0" applyNumberFormat="1" applyFont="1" applyFill="1" applyBorder="1" applyAlignment="1">
      <alignment horizontal="center" vertical="center"/>
    </xf>
    <xf numFmtId="167" fontId="5" fillId="0" borderId="15" xfId="0" applyNumberFormat="1" applyFont="1" applyFill="1" applyBorder="1" applyAlignment="1">
      <alignment horizontal="center" vertical="center"/>
    </xf>
    <xf numFmtId="49" fontId="10" fillId="0" borderId="51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/>
    </xf>
    <xf numFmtId="49" fontId="10" fillId="0" borderId="39" xfId="0" applyNumberFormat="1" applyFont="1" applyFill="1" applyBorder="1" applyAlignment="1">
      <alignment horizontal="center" vertical="center"/>
    </xf>
    <xf numFmtId="49" fontId="10" fillId="0" borderId="51" xfId="0" applyNumberFormat="1" applyFont="1" applyFill="1" applyBorder="1" applyAlignment="1">
      <alignment horizontal="center" vertical="center"/>
    </xf>
    <xf numFmtId="164" fontId="10" fillId="0" borderId="39" xfId="2" applyFont="1" applyFill="1" applyBorder="1" applyAlignment="1">
      <alignment horizontal="center" vertical="center"/>
    </xf>
    <xf numFmtId="165" fontId="13" fillId="0" borderId="23" xfId="0" applyNumberFormat="1" applyFont="1" applyFill="1" applyBorder="1" applyAlignment="1">
      <alignment horizontal="center" vertical="center" wrapText="1"/>
    </xf>
    <xf numFmtId="165" fontId="13" fillId="0" borderId="33" xfId="0" applyNumberFormat="1" applyFont="1" applyFill="1" applyBorder="1" applyAlignment="1">
      <alignment horizontal="center" vertical="center" wrapText="1"/>
    </xf>
    <xf numFmtId="165" fontId="0" fillId="0" borderId="38" xfId="0" applyNumberFormat="1" applyFont="1" applyFill="1" applyBorder="1" applyAlignment="1">
      <alignment vertical="center" wrapText="1"/>
    </xf>
    <xf numFmtId="165" fontId="0" fillId="0" borderId="7" xfId="0" applyNumberFormat="1" applyFont="1" applyFill="1" applyBorder="1" applyAlignment="1">
      <alignment vertical="center"/>
    </xf>
    <xf numFmtId="10" fontId="0" fillId="0" borderId="0" xfId="0" applyNumberFormat="1" applyFont="1" applyFill="1" applyBorder="1" applyAlignment="1">
      <alignment vertical="center"/>
    </xf>
    <xf numFmtId="165" fontId="42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64" fontId="0" fillId="0" borderId="0" xfId="2" applyFont="1" applyFill="1" applyBorder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9" fillId="0" borderId="0" xfId="0" applyFont="1" applyFill="1"/>
    <xf numFmtId="165" fontId="9" fillId="0" borderId="5" xfId="0" applyNumberFormat="1" applyFont="1" applyFill="1" applyBorder="1" applyAlignment="1">
      <alignment vertical="center" wrapText="1"/>
    </xf>
    <xf numFmtId="165" fontId="9" fillId="0" borderId="0" xfId="0" applyNumberFormat="1" applyFont="1" applyFill="1" applyBorder="1" applyAlignment="1">
      <alignment vertical="center"/>
    </xf>
    <xf numFmtId="10" fontId="9" fillId="0" borderId="0" xfId="0" applyNumberFormat="1" applyFont="1" applyFill="1" applyBorder="1" applyAlignment="1">
      <alignment vertical="center"/>
    </xf>
    <xf numFmtId="165" fontId="17" fillId="0" borderId="0" xfId="0" applyNumberFormat="1" applyFont="1" applyFill="1" applyBorder="1" applyAlignment="1">
      <alignment vertical="center"/>
    </xf>
    <xf numFmtId="165" fontId="17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vertical="center"/>
    </xf>
    <xf numFmtId="10" fontId="8" fillId="0" borderId="0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5" fontId="16" fillId="0" borderId="0" xfId="0" applyNumberFormat="1" applyFont="1" applyFill="1" applyBorder="1" applyAlignment="1">
      <alignment vertical="center"/>
    </xf>
    <xf numFmtId="165" fontId="0" fillId="0" borderId="5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1" fillId="0" borderId="0" xfId="2" applyFont="1" applyFill="1" applyBorder="1" applyAlignment="1">
      <alignment vertical="center"/>
    </xf>
    <xf numFmtId="165" fontId="0" fillId="0" borderId="3" xfId="0" applyNumberFormat="1" applyFont="1" applyFill="1" applyBorder="1" applyAlignment="1">
      <alignment vertical="center" wrapText="1"/>
    </xf>
    <xf numFmtId="165" fontId="0" fillId="0" borderId="2" xfId="0" applyNumberFormat="1" applyFont="1" applyFill="1" applyBorder="1" applyAlignment="1">
      <alignment vertical="center"/>
    </xf>
    <xf numFmtId="165" fontId="2" fillId="0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/>
    <xf numFmtId="0" fontId="0" fillId="0" borderId="0" xfId="0" applyBorder="1"/>
    <xf numFmtId="165" fontId="9" fillId="2" borderId="0" xfId="0" applyNumberFormat="1" applyFont="1" applyFill="1" applyBorder="1" applyAlignment="1">
      <alignment vertical="center" wrapText="1"/>
    </xf>
    <xf numFmtId="10" fontId="9" fillId="2" borderId="0" xfId="0" applyNumberFormat="1" applyFont="1" applyFill="1" applyBorder="1" applyAlignment="1">
      <alignment vertical="center" wrapText="1"/>
    </xf>
    <xf numFmtId="165" fontId="9" fillId="0" borderId="0" xfId="0" applyNumberFormat="1" applyFont="1" applyFill="1" applyBorder="1" applyAlignment="1">
      <alignment vertical="center" wrapText="1"/>
    </xf>
    <xf numFmtId="0" fontId="19" fillId="0" borderId="0" xfId="0" applyFont="1" applyFill="1" applyAlignment="1"/>
    <xf numFmtId="0" fontId="0" fillId="6" borderId="0" xfId="0" applyNumberFormat="1" applyFont="1" applyFill="1" applyAlignment="1"/>
    <xf numFmtId="0" fontId="0" fillId="0" borderId="0" xfId="0" applyFont="1" applyFill="1" applyAlignment="1"/>
    <xf numFmtId="49" fontId="6" fillId="2" borderId="4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/>
    <xf numFmtId="3" fontId="0" fillId="0" borderId="30" xfId="0" applyNumberFormat="1" applyFont="1" applyFill="1" applyBorder="1" applyAlignment="1"/>
    <xf numFmtId="3" fontId="4" fillId="0" borderId="30" xfId="0" applyNumberFormat="1" applyFont="1" applyFill="1" applyBorder="1" applyAlignment="1"/>
    <xf numFmtId="3" fontId="0" fillId="0" borderId="29" xfId="0" applyNumberFormat="1" applyFont="1" applyFill="1" applyBorder="1" applyAlignment="1"/>
    <xf numFmtId="3" fontId="6" fillId="0" borderId="31" xfId="0" applyNumberFormat="1" applyFont="1" applyFill="1" applyBorder="1" applyAlignment="1"/>
    <xf numFmtId="3" fontId="6" fillId="0" borderId="26" xfId="0" applyNumberFormat="1" applyFont="1" applyFill="1" applyBorder="1" applyAlignment="1"/>
    <xf numFmtId="3" fontId="0" fillId="0" borderId="31" xfId="0" applyNumberFormat="1" applyFont="1" applyFill="1" applyBorder="1" applyAlignment="1"/>
    <xf numFmtId="3" fontId="4" fillId="0" borderId="31" xfId="0" applyNumberFormat="1" applyFont="1" applyFill="1" applyBorder="1" applyAlignment="1"/>
    <xf numFmtId="3" fontId="6" fillId="0" borderId="29" xfId="0" applyNumberFormat="1" applyFont="1" applyFill="1" applyBorder="1" applyAlignment="1"/>
    <xf numFmtId="165" fontId="6" fillId="0" borderId="28" xfId="0" applyNumberFormat="1" applyFont="1" applyFill="1" applyBorder="1" applyAlignment="1"/>
    <xf numFmtId="49" fontId="10" fillId="0" borderId="27" xfId="0" applyNumberFormat="1" applyFont="1" applyFill="1" applyBorder="1" applyAlignment="1">
      <alignment horizontal="center"/>
    </xf>
    <xf numFmtId="15" fontId="10" fillId="0" borderId="26" xfId="0" applyNumberFormat="1" applyFont="1" applyFill="1" applyBorder="1" applyAlignment="1">
      <alignment horizontal="center"/>
    </xf>
    <xf numFmtId="49" fontId="10" fillId="0" borderId="25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/>
    <xf numFmtId="9" fontId="4" fillId="4" borderId="24" xfId="0" applyNumberFormat="1" applyFont="1" applyFill="1" applyBorder="1" applyAlignment="1">
      <alignment vertical="center"/>
    </xf>
    <xf numFmtId="9" fontId="4" fillId="4" borderId="7" xfId="0" applyNumberFormat="1" applyFont="1" applyFill="1" applyBorder="1" applyAlignment="1">
      <alignment vertical="center"/>
    </xf>
    <xf numFmtId="165" fontId="0" fillId="4" borderId="15" xfId="0" applyNumberFormat="1" applyFont="1" applyFill="1" applyBorder="1" applyAlignment="1">
      <alignment vertical="center"/>
    </xf>
    <xf numFmtId="165" fontId="0" fillId="4" borderId="0" xfId="0" applyNumberFormat="1" applyFont="1" applyFill="1" applyBorder="1" applyAlignment="1">
      <alignment vertical="center"/>
    </xf>
    <xf numFmtId="165" fontId="5" fillId="0" borderId="16" xfId="0" applyNumberFormat="1" applyFont="1" applyFill="1" applyBorder="1" applyAlignment="1">
      <alignment vertical="center"/>
    </xf>
    <xf numFmtId="9" fontId="6" fillId="4" borderId="15" xfId="0" applyNumberFormat="1" applyFont="1" applyFill="1" applyBorder="1" applyAlignment="1">
      <alignment horizontal="right" vertical="center"/>
    </xf>
    <xf numFmtId="9" fontId="6" fillId="4" borderId="0" xfId="0" applyNumberFormat="1" applyFont="1" applyFill="1" applyBorder="1" applyAlignment="1">
      <alignment horizontal="right" vertical="center"/>
    </xf>
    <xf numFmtId="49" fontId="10" fillId="0" borderId="4" xfId="0" applyNumberFormat="1" applyFont="1" applyFill="1" applyBorder="1" applyAlignment="1">
      <alignment vertical="center"/>
    </xf>
    <xf numFmtId="165" fontId="7" fillId="0" borderId="21" xfId="0" applyNumberFormat="1" applyFont="1" applyFill="1" applyBorder="1" applyAlignment="1">
      <alignment vertical="center"/>
    </xf>
    <xf numFmtId="167" fontId="4" fillId="4" borderId="15" xfId="0" applyNumberFormat="1" applyFont="1" applyFill="1" applyBorder="1" applyAlignment="1">
      <alignment vertical="center"/>
    </xf>
    <xf numFmtId="167" fontId="4" fillId="4" borderId="0" xfId="0" applyNumberFormat="1" applyFont="1" applyFill="1" applyBorder="1" applyAlignment="1">
      <alignment vertical="center"/>
    </xf>
    <xf numFmtId="165" fontId="7" fillId="0" borderId="20" xfId="0" applyNumberFormat="1" applyFont="1" applyFill="1" applyBorder="1" applyAlignment="1">
      <alignment vertical="center"/>
    </xf>
    <xf numFmtId="165" fontId="5" fillId="0" borderId="20" xfId="0" applyNumberFormat="1" applyFont="1" applyFill="1" applyBorder="1" applyAlignment="1">
      <alignment vertical="center"/>
    </xf>
    <xf numFmtId="9" fontId="4" fillId="4" borderId="15" xfId="0" applyNumberFormat="1" applyFont="1" applyFill="1" applyBorder="1" applyAlignment="1">
      <alignment vertical="center"/>
    </xf>
    <xf numFmtId="9" fontId="4" fillId="4" borderId="0" xfId="0" applyNumberFormat="1" applyFont="1" applyFill="1" applyBorder="1" applyAlignment="1">
      <alignment vertical="center"/>
    </xf>
    <xf numFmtId="0" fontId="0" fillId="0" borderId="0" xfId="0" applyFill="1" applyBorder="1"/>
    <xf numFmtId="9" fontId="0" fillId="4" borderId="15" xfId="0" applyNumberFormat="1" applyFont="1" applyFill="1" applyBorder="1" applyAlignment="1">
      <alignment vertical="center"/>
    </xf>
    <xf numFmtId="49" fontId="6" fillId="0" borderId="85" xfId="0" applyNumberFormat="1" applyFont="1" applyFill="1" applyBorder="1" applyAlignment="1">
      <alignment horizontal="right" vertical="center"/>
    </xf>
    <xf numFmtId="167" fontId="0" fillId="0" borderId="86" xfId="0" applyNumberFormat="1" applyFont="1" applyFill="1" applyBorder="1" applyAlignment="1">
      <alignment vertical="center"/>
    </xf>
    <xf numFmtId="167" fontId="0" fillId="0" borderId="87" xfId="0" applyNumberFormat="1" applyFont="1" applyFill="1" applyBorder="1" applyAlignment="1">
      <alignment vertical="center"/>
    </xf>
    <xf numFmtId="9" fontId="0" fillId="4" borderId="88" xfId="0" applyNumberFormat="1" applyFont="1" applyFill="1" applyBorder="1" applyAlignment="1">
      <alignment vertical="center"/>
    </xf>
    <xf numFmtId="9" fontId="6" fillId="0" borderId="85" xfId="0" applyNumberFormat="1" applyFont="1" applyFill="1" applyBorder="1" applyAlignment="1">
      <alignment horizontal="right" vertical="center"/>
    </xf>
    <xf numFmtId="9" fontId="0" fillId="0" borderId="88" xfId="0" applyNumberFormat="1" applyFont="1" applyFill="1" applyBorder="1" applyAlignment="1">
      <alignment vertical="center"/>
    </xf>
    <xf numFmtId="49" fontId="15" fillId="2" borderId="89" xfId="0" applyNumberFormat="1" applyFont="1" applyFill="1" applyBorder="1" applyAlignment="1">
      <alignment vertical="center"/>
    </xf>
    <xf numFmtId="9" fontId="0" fillId="4" borderId="0" xfId="0" applyNumberFormat="1" applyFont="1" applyFill="1" applyBorder="1" applyAlignment="1">
      <alignment vertical="center"/>
    </xf>
    <xf numFmtId="10" fontId="6" fillId="0" borderId="58" xfId="0" applyNumberFormat="1" applyFont="1" applyFill="1" applyBorder="1" applyAlignment="1">
      <alignment horizontal="right" vertical="center"/>
    </xf>
    <xf numFmtId="167" fontId="0" fillId="4" borderId="15" xfId="0" applyNumberFormat="1" applyFont="1" applyFill="1" applyBorder="1" applyAlignment="1">
      <alignment vertical="center"/>
    </xf>
    <xf numFmtId="167" fontId="0" fillId="4" borderId="0" xfId="0" applyNumberFormat="1" applyFont="1" applyFill="1" applyBorder="1" applyAlignment="1">
      <alignment vertical="center"/>
    </xf>
    <xf numFmtId="165" fontId="0" fillId="0" borderId="21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vertical="center"/>
    </xf>
    <xf numFmtId="15" fontId="5" fillId="4" borderId="15" xfId="0" applyNumberFormat="1" applyFont="1" applyFill="1" applyBorder="1" applyAlignment="1">
      <alignment horizontal="center" vertical="center"/>
    </xf>
    <xf numFmtId="15" fontId="5" fillId="4" borderId="0" xfId="0" applyNumberFormat="1" applyFont="1" applyFill="1" applyBorder="1" applyAlignment="1">
      <alignment horizontal="center" vertical="center"/>
    </xf>
    <xf numFmtId="167" fontId="5" fillId="4" borderId="15" xfId="0" applyNumberFormat="1" applyFont="1" applyFill="1" applyBorder="1" applyAlignment="1">
      <alignment horizontal="center" vertical="center"/>
    </xf>
    <xf numFmtId="167" fontId="5" fillId="4" borderId="0" xfId="0" applyNumberFormat="1" applyFont="1" applyFill="1" applyBorder="1" applyAlignment="1">
      <alignment horizontal="center" vertical="center"/>
    </xf>
    <xf numFmtId="165" fontId="13" fillId="4" borderId="23" xfId="0" applyNumberFormat="1" applyFont="1" applyFill="1" applyBorder="1" applyAlignment="1">
      <alignment horizontal="center" vertical="center" wrapText="1"/>
    </xf>
    <xf numFmtId="165" fontId="13" fillId="4" borderId="33" xfId="0" applyNumberFormat="1" applyFont="1" applyFill="1" applyBorder="1" applyAlignment="1">
      <alignment horizontal="center" vertical="center" wrapText="1"/>
    </xf>
    <xf numFmtId="3" fontId="4" fillId="4" borderId="37" xfId="0" applyNumberFormat="1" applyFont="1" applyFill="1" applyBorder="1" applyAlignment="1"/>
    <xf numFmtId="3" fontId="0" fillId="0" borderId="35" xfId="0" applyNumberFormat="1" applyFont="1" applyFill="1" applyBorder="1" applyAlignment="1"/>
    <xf numFmtId="3" fontId="0" fillId="0" borderId="34" xfId="0" applyNumberFormat="1" applyFont="1" applyFill="1" applyBorder="1" applyAlignment="1"/>
    <xf numFmtId="3" fontId="0" fillId="0" borderId="0" xfId="0" applyNumberFormat="1" applyFont="1" applyFill="1" applyBorder="1" applyAlignment="1"/>
    <xf numFmtId="3" fontId="6" fillId="0" borderId="36" xfId="0" applyNumberFormat="1" applyFont="1" applyFill="1" applyBorder="1" applyAlignment="1"/>
    <xf numFmtId="3" fontId="0" fillId="0" borderId="36" xfId="0" applyNumberFormat="1" applyFont="1" applyFill="1" applyBorder="1" applyAlignment="1"/>
    <xf numFmtId="3" fontId="4" fillId="0" borderId="36" xfId="0" applyNumberFormat="1" applyFont="1" applyFill="1" applyBorder="1" applyAlignment="1"/>
    <xf numFmtId="3" fontId="6" fillId="0" borderId="34" xfId="0" applyNumberFormat="1" applyFont="1" applyFill="1" applyBorder="1" applyAlignment="1"/>
    <xf numFmtId="49" fontId="4" fillId="0" borderId="4" xfId="0" applyNumberFormat="1" applyFont="1" applyFill="1" applyBorder="1" applyAlignment="1"/>
    <xf numFmtId="165" fontId="6" fillId="0" borderId="21" xfId="0" applyNumberFormat="1" applyFont="1" applyFill="1" applyBorder="1" applyAlignment="1"/>
    <xf numFmtId="49" fontId="6" fillId="0" borderId="16" xfId="0" applyNumberFormat="1" applyFont="1" applyFill="1" applyBorder="1" applyAlignment="1"/>
    <xf numFmtId="49" fontId="6" fillId="0" borderId="4" xfId="0" applyNumberFormat="1" applyFont="1" applyFill="1" applyBorder="1" applyAlignment="1"/>
    <xf numFmtId="49" fontId="11" fillId="0" borderId="4" xfId="0" applyNumberFormat="1" applyFont="1" applyFill="1" applyBorder="1" applyAlignment="1"/>
    <xf numFmtId="165" fontId="6" fillId="0" borderId="33" xfId="0" applyNumberFormat="1" applyFont="1" applyFill="1" applyBorder="1" applyAlignment="1"/>
    <xf numFmtId="49" fontId="10" fillId="0" borderId="7" xfId="0" applyNumberFormat="1" applyFont="1" applyFill="1" applyBorder="1" applyAlignment="1">
      <alignment horizontal="center"/>
    </xf>
    <xf numFmtId="15" fontId="10" fillId="0" borderId="0" xfId="0" applyNumberFormat="1" applyFont="1" applyFill="1" applyBorder="1" applyAlignment="1">
      <alignment horizontal="center"/>
    </xf>
    <xf numFmtId="49" fontId="10" fillId="0" borderId="33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/>
    <xf numFmtId="49" fontId="10" fillId="2" borderId="0" xfId="0" applyNumberFormat="1" applyFont="1" applyFill="1" applyBorder="1" applyAlignment="1">
      <alignment horizontal="center"/>
    </xf>
    <xf numFmtId="164" fontId="44" fillId="0" borderId="0" xfId="2" applyFont="1" applyAlignment="1"/>
    <xf numFmtId="164" fontId="45" fillId="0" borderId="0" xfId="2" applyFont="1" applyAlignment="1"/>
    <xf numFmtId="49" fontId="46" fillId="2" borderId="0" xfId="0" applyNumberFormat="1" applyFont="1" applyFill="1" applyBorder="1" applyAlignment="1">
      <alignment horizontal="center"/>
    </xf>
    <xf numFmtId="49" fontId="0" fillId="0" borderId="4" xfId="0" applyNumberFormat="1" applyFont="1" applyFill="1" applyBorder="1" applyAlignment="1"/>
    <xf numFmtId="49" fontId="0" fillId="0" borderId="16" xfId="0" applyNumberFormat="1" applyFont="1" applyFill="1" applyBorder="1" applyAlignment="1"/>
    <xf numFmtId="164" fontId="47" fillId="0" borderId="0" xfId="2" applyFont="1" applyAlignment="1">
      <alignment horizontal="center" wrapText="1"/>
    </xf>
    <xf numFmtId="0" fontId="0" fillId="0" borderId="26" xfId="0" applyNumberFormat="1" applyFont="1" applyBorder="1" applyAlignment="1"/>
    <xf numFmtId="167" fontId="0" fillId="0" borderId="90" xfId="0" applyNumberFormat="1" applyFont="1" applyFill="1" applyBorder="1" applyAlignment="1">
      <alignment vertical="center"/>
    </xf>
    <xf numFmtId="3" fontId="48" fillId="7" borderId="91" xfId="0" applyNumberFormat="1" applyFont="1" applyFill="1" applyBorder="1" applyAlignment="1">
      <alignment vertical="center"/>
    </xf>
    <xf numFmtId="3" fontId="48" fillId="7" borderId="92" xfId="0" applyNumberFormat="1" applyFont="1" applyFill="1" applyBorder="1" applyAlignment="1">
      <alignment vertical="center"/>
    </xf>
    <xf numFmtId="9" fontId="49" fillId="7" borderId="93" xfId="0" applyNumberFormat="1" applyFont="1" applyFill="1" applyBorder="1" applyAlignment="1">
      <alignment horizontal="right" vertical="center"/>
    </xf>
    <xf numFmtId="0" fontId="50" fillId="8" borderId="94" xfId="0" applyFont="1" applyFill="1" applyBorder="1" applyAlignment="1">
      <alignment vertical="center"/>
    </xf>
    <xf numFmtId="9" fontId="6" fillId="0" borderId="95" xfId="0" applyNumberFormat="1" applyFont="1" applyFill="1" applyBorder="1" applyAlignment="1">
      <alignment horizontal="right" vertical="center"/>
    </xf>
    <xf numFmtId="49" fontId="0" fillId="9" borderId="4" xfId="0" applyNumberFormat="1" applyFont="1" applyFill="1" applyBorder="1" applyAlignment="1">
      <alignment vertical="center"/>
    </xf>
    <xf numFmtId="49" fontId="8" fillId="5" borderId="4" xfId="0" applyNumberFormat="1" applyFont="1" applyFill="1" applyBorder="1" applyAlignment="1">
      <alignment horizontal="center" vertical="center"/>
    </xf>
    <xf numFmtId="15" fontId="8" fillId="5" borderId="0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15" fontId="8" fillId="2" borderId="0" xfId="0" applyNumberFormat="1" applyFont="1" applyFill="1" applyBorder="1" applyAlignment="1">
      <alignment horizontal="center"/>
    </xf>
    <xf numFmtId="49" fontId="8" fillId="5" borderId="4" xfId="0" applyNumberFormat="1" applyFont="1" applyFill="1" applyBorder="1" applyAlignment="1">
      <alignment horizontal="center" vertical="center"/>
    </xf>
    <xf numFmtId="49" fontId="8" fillId="5" borderId="0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165" fontId="1" fillId="5" borderId="2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1" fillId="5" borderId="4" xfId="0" applyNumberFormat="1" applyFont="1" applyFill="1" applyBorder="1" applyAlignment="1">
      <alignment horizontal="center" vertical="center"/>
    </xf>
    <xf numFmtId="49" fontId="1" fillId="5" borderId="0" xfId="0" applyNumberFormat="1" applyFont="1" applyFill="1" applyBorder="1" applyAlignment="1">
      <alignment horizontal="center" vertical="center"/>
    </xf>
    <xf numFmtId="165" fontId="1" fillId="5" borderId="0" xfId="0" applyNumberFormat="1" applyFont="1" applyFill="1" applyBorder="1" applyAlignment="1">
      <alignment horizontal="center" vertical="center"/>
    </xf>
    <xf numFmtId="15" fontId="8" fillId="5" borderId="0" xfId="0" applyNumberFormat="1" applyFont="1" applyFill="1" applyBorder="1" applyAlignment="1">
      <alignment horizontal="center" vertical="center"/>
    </xf>
    <xf numFmtId="49" fontId="18" fillId="4" borderId="8" xfId="0" applyNumberFormat="1" applyFont="1" applyFill="1" applyBorder="1" applyAlignment="1">
      <alignment horizontal="left" vertical="center" wrapText="1"/>
    </xf>
    <xf numFmtId="15" fontId="18" fillId="4" borderId="10" xfId="0" applyNumberFormat="1" applyFont="1" applyFill="1" applyBorder="1" applyAlignment="1">
      <alignment horizontal="left" vertical="center" wrapText="1"/>
    </xf>
    <xf numFmtId="15" fontId="18" fillId="4" borderId="11" xfId="0" applyNumberFormat="1" applyFont="1" applyFill="1" applyBorder="1" applyAlignment="1">
      <alignment horizontal="left" vertical="center" wrapText="1"/>
    </xf>
    <xf numFmtId="49" fontId="10" fillId="4" borderId="40" xfId="0" applyNumberFormat="1" applyFont="1" applyFill="1" applyBorder="1" applyAlignment="1">
      <alignment horizontal="center" vertical="center" wrapText="1"/>
    </xf>
    <xf numFmtId="167" fontId="10" fillId="4" borderId="52" xfId="0" applyNumberFormat="1" applyFont="1" applyFill="1" applyBorder="1" applyAlignment="1">
      <alignment horizontal="center" vertical="center" wrapText="1"/>
    </xf>
    <xf numFmtId="49" fontId="10" fillId="4" borderId="48" xfId="0" applyNumberFormat="1" applyFont="1" applyFill="1" applyBorder="1" applyAlignment="1">
      <alignment horizontal="center" vertical="center"/>
    </xf>
    <xf numFmtId="15" fontId="10" fillId="4" borderId="49" xfId="0" applyNumberFormat="1" applyFont="1" applyFill="1" applyBorder="1" applyAlignment="1">
      <alignment horizontal="center" vertical="center"/>
    </xf>
    <xf numFmtId="15" fontId="10" fillId="4" borderId="50" xfId="0" applyNumberFormat="1" applyFont="1" applyFill="1" applyBorder="1" applyAlignment="1">
      <alignment horizontal="center" vertical="center"/>
    </xf>
    <xf numFmtId="49" fontId="10" fillId="4" borderId="48" xfId="0" applyNumberFormat="1" applyFont="1" applyFill="1" applyBorder="1" applyAlignment="1">
      <alignment horizontal="center" vertical="center" wrapText="1"/>
    </xf>
    <xf numFmtId="165" fontId="10" fillId="4" borderId="49" xfId="0" applyNumberFormat="1" applyFont="1" applyFill="1" applyBorder="1" applyAlignment="1">
      <alignment horizontal="center" vertical="center" wrapText="1"/>
    </xf>
    <xf numFmtId="165" fontId="10" fillId="4" borderId="50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165" fontId="43" fillId="2" borderId="0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wrapText="1"/>
    </xf>
    <xf numFmtId="49" fontId="1" fillId="2" borderId="0" xfId="0" applyNumberFormat="1" applyFont="1" applyFill="1" applyBorder="1" applyAlignment="1">
      <alignment horizontal="center" wrapText="1"/>
    </xf>
    <xf numFmtId="49" fontId="43" fillId="5" borderId="4" xfId="0" applyNumberFormat="1" applyFont="1" applyFill="1" applyBorder="1" applyAlignment="1">
      <alignment horizontal="center" vertical="center"/>
    </xf>
    <xf numFmtId="49" fontId="43" fillId="5" borderId="0" xfId="0" applyNumberFormat="1" applyFont="1" applyFill="1" applyBorder="1" applyAlignment="1">
      <alignment horizontal="center" vertical="center"/>
    </xf>
    <xf numFmtId="49" fontId="18" fillId="0" borderId="8" xfId="0" applyNumberFormat="1" applyFont="1" applyFill="1" applyBorder="1" applyAlignment="1">
      <alignment horizontal="left" vertical="center" wrapText="1"/>
    </xf>
    <xf numFmtId="15" fontId="18" fillId="0" borderId="10" xfId="0" applyNumberFormat="1" applyFont="1" applyFill="1" applyBorder="1" applyAlignment="1">
      <alignment horizontal="left" vertical="center" wrapText="1"/>
    </xf>
    <xf numFmtId="15" fontId="18" fillId="0" borderId="11" xfId="0" applyNumberFormat="1" applyFont="1" applyFill="1" applyBorder="1" applyAlignment="1">
      <alignment horizontal="left" vertical="center" wrapText="1"/>
    </xf>
    <xf numFmtId="49" fontId="10" fillId="0" borderId="40" xfId="0" applyNumberFormat="1" applyFont="1" applyFill="1" applyBorder="1" applyAlignment="1">
      <alignment horizontal="center" vertical="center" wrapText="1"/>
    </xf>
    <xf numFmtId="167" fontId="10" fillId="0" borderId="52" xfId="0" applyNumberFormat="1" applyFont="1" applyFill="1" applyBorder="1" applyAlignment="1">
      <alignment horizontal="center" vertical="center" wrapText="1"/>
    </xf>
    <xf numFmtId="49" fontId="10" fillId="0" borderId="48" xfId="0" applyNumberFormat="1" applyFont="1" applyFill="1" applyBorder="1" applyAlignment="1">
      <alignment horizontal="center" vertical="center"/>
    </xf>
    <xf numFmtId="15" fontId="10" fillId="0" borderId="49" xfId="0" applyNumberFormat="1" applyFont="1" applyFill="1" applyBorder="1" applyAlignment="1">
      <alignment horizontal="center" vertical="center"/>
    </xf>
    <xf numFmtId="15" fontId="10" fillId="0" borderId="50" xfId="0" applyNumberFormat="1" applyFont="1" applyFill="1" applyBorder="1" applyAlignment="1">
      <alignment horizontal="center" vertical="center"/>
    </xf>
    <xf numFmtId="49" fontId="10" fillId="0" borderId="48" xfId="0" applyNumberFormat="1" applyFont="1" applyFill="1" applyBorder="1" applyAlignment="1">
      <alignment horizontal="center" vertical="center" wrapText="1"/>
    </xf>
    <xf numFmtId="165" fontId="10" fillId="0" borderId="49" xfId="0" applyNumberFormat="1" applyFont="1" applyFill="1" applyBorder="1" applyAlignment="1">
      <alignment horizontal="center" vertical="center" wrapText="1"/>
    </xf>
    <xf numFmtId="165" fontId="10" fillId="0" borderId="50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5" fontId="8" fillId="2" borderId="0" xfId="0" applyNumberFormat="1" applyFont="1" applyFill="1" applyBorder="1" applyAlignment="1">
      <alignment horizontal="center"/>
    </xf>
    <xf numFmtId="49" fontId="31" fillId="5" borderId="4" xfId="0" applyNumberFormat="1" applyFont="1" applyFill="1" applyBorder="1" applyAlignment="1">
      <alignment horizontal="center" vertical="center"/>
    </xf>
    <xf numFmtId="49" fontId="31" fillId="5" borderId="0" xfId="0" applyNumberFormat="1" applyFont="1" applyFill="1" applyBorder="1" applyAlignment="1">
      <alignment horizontal="center" vertical="center"/>
    </xf>
    <xf numFmtId="49" fontId="28" fillId="5" borderId="1" xfId="0" applyNumberFormat="1" applyFont="1" applyFill="1" applyBorder="1" applyAlignment="1">
      <alignment horizontal="center" vertical="center"/>
    </xf>
    <xf numFmtId="165" fontId="28" fillId="5" borderId="2" xfId="0" applyNumberFormat="1" applyFont="1" applyFill="1" applyBorder="1" applyAlignment="1">
      <alignment horizontal="center" vertical="center"/>
    </xf>
    <xf numFmtId="49" fontId="28" fillId="5" borderId="4" xfId="0" applyNumberFormat="1" applyFont="1" applyFill="1" applyBorder="1" applyAlignment="1">
      <alignment horizontal="center" vertical="center"/>
    </xf>
    <xf numFmtId="49" fontId="28" fillId="5" borderId="0" xfId="0" applyNumberFormat="1" applyFont="1" applyFill="1" applyBorder="1" applyAlignment="1">
      <alignment horizontal="center" vertical="center"/>
    </xf>
    <xf numFmtId="165" fontId="28" fillId="5" borderId="0" xfId="0" applyNumberFormat="1" applyFont="1" applyFill="1" applyBorder="1" applyAlignment="1">
      <alignment horizontal="center" vertical="center"/>
    </xf>
    <xf numFmtId="15" fontId="31" fillId="5" borderId="0" xfId="0" applyNumberFormat="1" applyFont="1" applyFill="1" applyBorder="1" applyAlignment="1">
      <alignment horizontal="center" vertical="center"/>
    </xf>
    <xf numFmtId="49" fontId="31" fillId="4" borderId="8" xfId="0" applyNumberFormat="1" applyFont="1" applyFill="1" applyBorder="1" applyAlignment="1">
      <alignment horizontal="left" vertical="center" wrapText="1"/>
    </xf>
    <xf numFmtId="15" fontId="31" fillId="4" borderId="10" xfId="0" applyNumberFormat="1" applyFont="1" applyFill="1" applyBorder="1" applyAlignment="1">
      <alignment horizontal="left" vertical="center" wrapText="1"/>
    </xf>
    <xf numFmtId="15" fontId="31" fillId="4" borderId="11" xfId="0" applyNumberFormat="1" applyFont="1" applyFill="1" applyBorder="1" applyAlignment="1">
      <alignment horizontal="left" vertical="center" wrapText="1"/>
    </xf>
    <xf numFmtId="49" fontId="31" fillId="4" borderId="40" xfId="0" applyNumberFormat="1" applyFont="1" applyFill="1" applyBorder="1" applyAlignment="1">
      <alignment horizontal="center" vertical="center" wrapText="1"/>
    </xf>
    <xf numFmtId="167" fontId="31" fillId="4" borderId="52" xfId="0" applyNumberFormat="1" applyFont="1" applyFill="1" applyBorder="1" applyAlignment="1">
      <alignment horizontal="center" vertical="center" wrapText="1"/>
    </xf>
    <xf numFmtId="49" fontId="31" fillId="4" borderId="48" xfId="0" applyNumberFormat="1" applyFont="1" applyFill="1" applyBorder="1" applyAlignment="1">
      <alignment horizontal="center" vertical="center"/>
    </xf>
    <xf numFmtId="15" fontId="31" fillId="4" borderId="49" xfId="0" applyNumberFormat="1" applyFont="1" applyFill="1" applyBorder="1" applyAlignment="1">
      <alignment horizontal="center" vertical="center"/>
    </xf>
    <xf numFmtId="15" fontId="31" fillId="4" borderId="50" xfId="0" applyNumberFormat="1" applyFont="1" applyFill="1" applyBorder="1" applyAlignment="1">
      <alignment horizontal="center" vertical="center"/>
    </xf>
    <xf numFmtId="49" fontId="31" fillId="4" borderId="48" xfId="0" applyNumberFormat="1" applyFont="1" applyFill="1" applyBorder="1" applyAlignment="1">
      <alignment horizontal="center" vertical="center" wrapText="1"/>
    </xf>
    <xf numFmtId="165" fontId="31" fillId="4" borderId="49" xfId="0" applyNumberFormat="1" applyFont="1" applyFill="1" applyBorder="1" applyAlignment="1">
      <alignment horizontal="center" vertical="center" wrapText="1"/>
    </xf>
    <xf numFmtId="165" fontId="31" fillId="4" borderId="50" xfId="0" applyNumberFormat="1" applyFont="1" applyFill="1" applyBorder="1" applyAlignment="1">
      <alignment horizontal="center" vertical="center" wrapText="1"/>
    </xf>
    <xf numFmtId="49" fontId="8" fillId="5" borderId="5" xfId="0" applyNumberFormat="1" applyFont="1" applyFill="1" applyBorder="1" applyAlignment="1">
      <alignment horizontal="center" vertical="center"/>
    </xf>
    <xf numFmtId="165" fontId="51" fillId="2" borderId="4" xfId="0" applyNumberFormat="1" applyFont="1" applyFill="1" applyBorder="1" applyAlignment="1">
      <alignment horizontal="center" vertical="center"/>
    </xf>
    <xf numFmtId="165" fontId="51" fillId="2" borderId="0" xfId="0" applyNumberFormat="1" applyFont="1" applyFill="1" applyBorder="1" applyAlignment="1">
      <alignment horizontal="center" vertical="center"/>
    </xf>
    <xf numFmtId="165" fontId="51" fillId="2" borderId="5" xfId="0" applyNumberFormat="1" applyFont="1" applyFill="1" applyBorder="1" applyAlignment="1">
      <alignment horizontal="center" vertical="center"/>
    </xf>
    <xf numFmtId="0" fontId="23" fillId="0" borderId="69" xfId="0" applyFont="1" applyBorder="1" applyAlignment="1">
      <alignment horizontal="left" wrapText="1"/>
    </xf>
    <xf numFmtId="0" fontId="23" fillId="0" borderId="0" xfId="0" applyFont="1" applyBorder="1" applyAlignment="1">
      <alignment horizontal="left" wrapText="1"/>
    </xf>
    <xf numFmtId="0" fontId="0" fillId="0" borderId="0" xfId="0" applyNumberFormat="1" applyFont="1" applyAlignment="1">
      <alignment horizontal="left" vertical="top" wrapText="1"/>
    </xf>
    <xf numFmtId="15" fontId="11" fillId="4" borderId="26" xfId="0" applyNumberFormat="1" applyFont="1" applyFill="1" applyBorder="1" applyAlignment="1">
      <alignment horizontal="center"/>
    </xf>
    <xf numFmtId="49" fontId="11" fillId="4" borderId="27" xfId="0" applyNumberFormat="1" applyFont="1" applyFill="1" applyBorder="1" applyAlignment="1">
      <alignment horizontal="center"/>
    </xf>
    <xf numFmtId="3" fontId="6" fillId="4" borderId="30" xfId="0" applyNumberFormat="1" applyFont="1" applyFill="1" applyBorder="1" applyAlignment="1"/>
    <xf numFmtId="3" fontId="6" fillId="3" borderId="32" xfId="0" applyNumberFormat="1" applyFont="1" applyFill="1" applyBorder="1" applyAlignment="1"/>
  </cellXfs>
  <cellStyles count="3">
    <cellStyle name="Comma 2" xfId="2"/>
    <cellStyle name="Normal" xfId="0" builtinId="0"/>
    <cellStyle name="Percent" xfId="1" builtinId="5"/>
  </cellStyles>
  <dxfs count="6">
    <dxf>
      <fill>
        <patternFill patternType="solid">
          <fgColor indexed="16"/>
          <bgColor indexed="9"/>
        </patternFill>
      </fill>
    </dxf>
    <dxf>
      <fill>
        <patternFill patternType="solid">
          <fgColor indexed="16"/>
          <bgColor indexed="9"/>
        </patternFill>
      </fill>
    </dxf>
    <dxf>
      <fill>
        <patternFill patternType="solid">
          <fgColor indexed="16"/>
          <bgColor indexed="9"/>
        </patternFill>
      </fill>
    </dxf>
    <dxf>
      <fill>
        <patternFill patternType="solid">
          <fgColor indexed="16"/>
          <bgColor indexed="9"/>
        </patternFill>
      </fill>
    </dxf>
    <dxf>
      <fill>
        <patternFill patternType="solid">
          <fgColor indexed="16"/>
          <bgColor indexed="9"/>
        </patternFill>
      </fill>
    </dxf>
    <dxf>
      <fill>
        <patternFill patternType="solid">
          <fgColor indexed="16"/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E89"/>
  <sheetViews>
    <sheetView topLeftCell="A28" zoomScale="70" zoomScaleNormal="70" workbookViewId="0">
      <selection activeCell="AA13" sqref="AA13"/>
    </sheetView>
  </sheetViews>
  <sheetFormatPr defaultRowHeight="15" x14ac:dyDescent="0.25"/>
  <cols>
    <col min="1" max="1" width="53.42578125" style="8" customWidth="1"/>
    <col min="2" max="3" width="14.140625" style="8" customWidth="1"/>
    <col min="4" max="4" width="13.140625" style="8" customWidth="1"/>
    <col min="5" max="5" width="7.42578125" style="8" customWidth="1"/>
    <col min="6" max="6" width="1" style="8" customWidth="1"/>
    <col min="7" max="7" width="14.5703125" style="8" customWidth="1"/>
    <col min="8" max="8" width="14.28515625" style="8" customWidth="1"/>
    <col min="9" max="9" width="15.5703125" style="8" customWidth="1"/>
    <col min="10" max="10" width="7.85546875" style="8" customWidth="1"/>
    <col min="11" max="11" width="1.140625" style="8" customWidth="1"/>
    <col min="12" max="12" width="14" style="8" hidden="1" customWidth="1"/>
    <col min="13" max="13" width="14.140625" style="8" hidden="1" customWidth="1"/>
    <col min="14" max="14" width="12.85546875" style="8" hidden="1" customWidth="1"/>
    <col min="15" max="15" width="6.85546875" style="8" hidden="1" customWidth="1"/>
    <col min="16" max="16" width="1" style="8" hidden="1" customWidth="1"/>
    <col min="17" max="17" width="13.85546875" style="8" hidden="1" customWidth="1"/>
    <col min="18" max="18" width="13.140625" style="8" hidden="1" customWidth="1"/>
    <col min="19" max="19" width="15.28515625" style="8" hidden="1" customWidth="1"/>
    <col min="20" max="20" width="7.7109375" style="8" hidden="1" customWidth="1"/>
    <col min="21" max="21" width="1.28515625" style="8" hidden="1" customWidth="1"/>
    <col min="22" max="22" width="14.28515625" style="8" customWidth="1"/>
    <col min="23" max="23" width="14.140625" style="8" customWidth="1"/>
    <col min="24" max="24" width="13" style="8" customWidth="1"/>
    <col min="25" max="25" width="7.28515625" style="8" customWidth="1"/>
    <col min="26" max="26" width="1" style="8" customWidth="1"/>
    <col min="27" max="27" width="16.28515625" style="8" customWidth="1"/>
    <col min="28" max="28" width="13.7109375" style="8" customWidth="1"/>
    <col min="29" max="29" width="10.28515625" style="8" customWidth="1"/>
    <col min="30" max="30" width="1" style="8" customWidth="1"/>
    <col min="31" max="31" width="66.42578125" style="8" customWidth="1"/>
  </cols>
  <sheetData>
    <row r="1" spans="1:31" ht="18.75" x14ac:dyDescent="0.25">
      <c r="A1" s="839" t="s">
        <v>0</v>
      </c>
      <c r="B1" s="840"/>
      <c r="C1" s="840"/>
      <c r="D1" s="840"/>
      <c r="E1" s="840"/>
      <c r="F1" s="840"/>
      <c r="G1" s="840"/>
      <c r="H1" s="840"/>
      <c r="I1" s="112"/>
      <c r="J1" s="112"/>
      <c r="K1" s="1"/>
      <c r="L1" s="1"/>
      <c r="M1" s="1"/>
      <c r="N1" s="1"/>
      <c r="O1" s="1"/>
      <c r="P1" s="62"/>
      <c r="Q1" s="112"/>
      <c r="R1" s="113"/>
      <c r="S1" s="114"/>
      <c r="T1" s="113"/>
      <c r="U1" s="62"/>
      <c r="V1" s="62"/>
      <c r="W1" s="62"/>
      <c r="X1" s="62"/>
      <c r="Y1" s="62"/>
      <c r="Z1" s="62"/>
      <c r="AA1" s="62"/>
      <c r="AB1" s="62"/>
      <c r="AC1" s="62"/>
      <c r="AD1" s="62"/>
      <c r="AE1" s="63"/>
    </row>
    <row r="2" spans="1:31" ht="18.75" x14ac:dyDescent="0.25">
      <c r="A2" s="125"/>
      <c r="B2" s="126"/>
      <c r="C2" s="126"/>
      <c r="D2" s="126"/>
      <c r="E2" s="126"/>
      <c r="F2" s="126"/>
      <c r="G2" s="126"/>
      <c r="H2" s="126"/>
      <c r="I2" s="115"/>
      <c r="J2" s="115"/>
      <c r="K2" s="4"/>
      <c r="L2" s="5"/>
      <c r="M2" s="5"/>
      <c r="N2" s="5"/>
      <c r="O2" s="5"/>
      <c r="P2" s="4"/>
      <c r="Q2" s="115"/>
      <c r="R2" s="116"/>
      <c r="S2" s="117"/>
      <c r="T2" s="116"/>
      <c r="U2" s="4"/>
      <c r="V2" s="65"/>
      <c r="W2" s="65"/>
      <c r="X2" s="65"/>
      <c r="Y2" s="65"/>
      <c r="Z2" s="4"/>
      <c r="AA2" s="65"/>
      <c r="AB2" s="65"/>
      <c r="AC2" s="65"/>
      <c r="AD2" s="4"/>
      <c r="AE2" s="66"/>
    </row>
    <row r="3" spans="1:31" s="100" customFormat="1" ht="18.75" x14ac:dyDescent="0.25">
      <c r="A3" s="841" t="s">
        <v>1</v>
      </c>
      <c r="B3" s="842"/>
      <c r="C3" s="842"/>
      <c r="D3" s="842"/>
      <c r="E3" s="842"/>
      <c r="F3" s="842"/>
      <c r="G3" s="842"/>
      <c r="H3" s="842"/>
      <c r="I3" s="118"/>
      <c r="J3" s="118"/>
      <c r="K3" s="97"/>
      <c r="L3" s="97"/>
      <c r="M3" s="97"/>
      <c r="N3" s="97"/>
      <c r="O3" s="97"/>
      <c r="P3" s="98"/>
      <c r="Q3" s="118"/>
      <c r="R3" s="119"/>
      <c r="S3" s="120"/>
      <c r="T3" s="119"/>
      <c r="U3" s="98"/>
      <c r="V3" s="98"/>
      <c r="W3" s="98"/>
      <c r="X3" s="98"/>
      <c r="Y3" s="98"/>
      <c r="Z3" s="98"/>
      <c r="AA3" s="98"/>
      <c r="AB3" s="98"/>
      <c r="AC3" s="98"/>
      <c r="AD3" s="98"/>
      <c r="AE3" s="99"/>
    </row>
    <row r="4" spans="1:31" ht="18.75" x14ac:dyDescent="0.25">
      <c r="A4" s="843" t="s">
        <v>2</v>
      </c>
      <c r="B4" s="844"/>
      <c r="C4" s="844"/>
      <c r="D4" s="844"/>
      <c r="E4" s="844"/>
      <c r="F4" s="844"/>
      <c r="G4" s="844"/>
      <c r="H4" s="844"/>
      <c r="I4" s="127"/>
      <c r="J4" s="127"/>
      <c r="K4" s="67"/>
      <c r="L4" s="67"/>
      <c r="M4" s="67"/>
      <c r="N4" s="67"/>
      <c r="O4" s="67"/>
      <c r="P4" s="65"/>
      <c r="Q4" s="121"/>
      <c r="R4" s="122"/>
      <c r="S4" s="117"/>
      <c r="T4" s="122"/>
      <c r="U4" s="65"/>
      <c r="V4" s="65"/>
      <c r="W4" s="65"/>
      <c r="X4" s="65"/>
      <c r="Y4" s="65"/>
      <c r="Z4" s="65"/>
      <c r="AA4" s="65"/>
      <c r="AB4" s="68"/>
      <c r="AC4" s="65"/>
      <c r="AD4" s="65"/>
      <c r="AE4" s="66"/>
    </row>
    <row r="5" spans="1:31" ht="18.75" x14ac:dyDescent="0.25">
      <c r="A5" s="843" t="s">
        <v>3</v>
      </c>
      <c r="B5" s="845"/>
      <c r="C5" s="845"/>
      <c r="D5" s="845"/>
      <c r="E5" s="845"/>
      <c r="F5" s="845"/>
      <c r="G5" s="845"/>
      <c r="H5" s="845"/>
      <c r="I5" s="115"/>
      <c r="J5" s="115"/>
      <c r="K5" s="67"/>
      <c r="L5" s="67"/>
      <c r="M5" s="67"/>
      <c r="N5" s="67"/>
      <c r="O5" s="67"/>
      <c r="P5" s="65"/>
      <c r="Q5" s="121"/>
      <c r="R5" s="122"/>
      <c r="S5" s="117"/>
      <c r="T5" s="122"/>
      <c r="U5" s="65"/>
      <c r="V5" s="65"/>
      <c r="W5" s="65"/>
      <c r="X5" s="65"/>
      <c r="Y5" s="65"/>
      <c r="Z5" s="65"/>
      <c r="AA5" s="65"/>
      <c r="AB5" s="68"/>
      <c r="AC5" s="65"/>
      <c r="AD5" s="65"/>
      <c r="AE5" s="66"/>
    </row>
    <row r="6" spans="1:31" s="100" customFormat="1" ht="18.75" x14ac:dyDescent="0.25">
      <c r="A6" s="837" t="s">
        <v>4</v>
      </c>
      <c r="B6" s="846"/>
      <c r="C6" s="846"/>
      <c r="D6" s="846"/>
      <c r="E6" s="846"/>
      <c r="F6" s="846"/>
      <c r="G6" s="846"/>
      <c r="H6" s="846"/>
      <c r="I6" s="118"/>
      <c r="J6" s="118"/>
      <c r="K6" s="101"/>
      <c r="L6" s="101"/>
      <c r="M6" s="101"/>
      <c r="N6" s="101"/>
      <c r="O6" s="101"/>
      <c r="P6" s="98"/>
      <c r="Q6" s="123"/>
      <c r="R6" s="124"/>
      <c r="S6" s="120"/>
      <c r="T6" s="124"/>
      <c r="U6" s="98"/>
      <c r="V6" s="98"/>
      <c r="W6" s="98"/>
      <c r="X6" s="98"/>
      <c r="Y6" s="98"/>
      <c r="Z6" s="98"/>
      <c r="AA6" s="102"/>
      <c r="AB6" s="103"/>
      <c r="AC6" s="98"/>
      <c r="AD6" s="98"/>
      <c r="AE6" s="99"/>
    </row>
    <row r="7" spans="1:31" s="100" customFormat="1" ht="18.75" x14ac:dyDescent="0.25">
      <c r="A7" s="837" t="s">
        <v>5</v>
      </c>
      <c r="B7" s="838"/>
      <c r="C7" s="838"/>
      <c r="D7" s="838"/>
      <c r="E7" s="838"/>
      <c r="F7" s="838"/>
      <c r="G7" s="838"/>
      <c r="H7" s="838"/>
      <c r="I7" s="128"/>
      <c r="J7" s="128"/>
      <c r="K7" s="101"/>
      <c r="L7" s="101"/>
      <c r="M7" s="101"/>
      <c r="N7" s="101"/>
      <c r="O7" s="101"/>
      <c r="P7" s="98"/>
      <c r="Q7" s="123"/>
      <c r="R7" s="124"/>
      <c r="S7" s="120"/>
      <c r="T7" s="124"/>
      <c r="U7" s="98"/>
      <c r="V7" s="98"/>
      <c r="W7" s="98"/>
      <c r="X7" s="98"/>
      <c r="Y7" s="98"/>
      <c r="Z7" s="98"/>
      <c r="AA7" s="98"/>
      <c r="AB7" s="256"/>
      <c r="AC7" s="98"/>
      <c r="AD7" s="98"/>
      <c r="AE7" s="99"/>
    </row>
    <row r="8" spans="1:31" ht="27" thickBot="1" x14ac:dyDescent="0.3">
      <c r="A8" s="592"/>
      <c r="B8" s="168"/>
      <c r="C8" s="65"/>
      <c r="D8" s="65"/>
      <c r="E8" s="65"/>
      <c r="F8" s="70"/>
      <c r="G8" s="65"/>
      <c r="H8" s="65"/>
      <c r="I8" s="65"/>
      <c r="J8" s="65"/>
      <c r="K8" s="70"/>
      <c r="L8" s="65"/>
      <c r="M8" s="65"/>
      <c r="N8" s="65"/>
      <c r="O8" s="65"/>
      <c r="P8" s="70"/>
      <c r="Q8" s="65"/>
      <c r="R8" s="65"/>
      <c r="S8" s="235"/>
      <c r="T8" s="65"/>
      <c r="U8" s="70"/>
      <c r="V8" s="65"/>
      <c r="W8" s="65"/>
      <c r="X8" s="65"/>
      <c r="Y8" s="65"/>
      <c r="Z8" s="70"/>
      <c r="AA8" s="65"/>
      <c r="AB8" s="68"/>
      <c r="AC8" s="65"/>
      <c r="AD8" s="70"/>
      <c r="AE8" s="71"/>
    </row>
    <row r="9" spans="1:31" ht="15.75" x14ac:dyDescent="0.25">
      <c r="A9" s="140"/>
      <c r="B9" s="852" t="s">
        <v>6</v>
      </c>
      <c r="C9" s="853"/>
      <c r="D9" s="853"/>
      <c r="E9" s="854"/>
      <c r="F9" s="200"/>
      <c r="G9" s="852" t="s">
        <v>7</v>
      </c>
      <c r="H9" s="853"/>
      <c r="I9" s="853"/>
      <c r="J9" s="854"/>
      <c r="K9" s="200"/>
      <c r="L9" s="855" t="s">
        <v>8</v>
      </c>
      <c r="M9" s="856"/>
      <c r="N9" s="856"/>
      <c r="O9" s="857"/>
      <c r="P9" s="200"/>
      <c r="Q9" s="852" t="s">
        <v>9</v>
      </c>
      <c r="R9" s="853"/>
      <c r="S9" s="853"/>
      <c r="T9" s="854"/>
      <c r="U9" s="200"/>
      <c r="V9" s="855" t="s">
        <v>10</v>
      </c>
      <c r="W9" s="856"/>
      <c r="X9" s="856"/>
      <c r="Y9" s="857"/>
      <c r="Z9" s="200"/>
      <c r="AA9" s="855" t="s">
        <v>11</v>
      </c>
      <c r="AB9" s="856"/>
      <c r="AC9" s="857"/>
      <c r="AD9" s="158"/>
      <c r="AE9" s="847" t="s">
        <v>12</v>
      </c>
    </row>
    <row r="10" spans="1:31" ht="31.5" x14ac:dyDescent="0.25">
      <c r="A10" s="141" t="s">
        <v>13</v>
      </c>
      <c r="B10" s="169" t="s">
        <v>14</v>
      </c>
      <c r="C10" s="104" t="s">
        <v>15</v>
      </c>
      <c r="D10" s="850" t="s">
        <v>16</v>
      </c>
      <c r="E10" s="851"/>
      <c r="F10" s="201"/>
      <c r="G10" s="169" t="s">
        <v>14</v>
      </c>
      <c r="H10" s="104" t="s">
        <v>15</v>
      </c>
      <c r="I10" s="850" t="s">
        <v>16</v>
      </c>
      <c r="J10" s="851"/>
      <c r="K10" s="201"/>
      <c r="L10" s="169" t="s">
        <v>14</v>
      </c>
      <c r="M10" s="104" t="s">
        <v>15</v>
      </c>
      <c r="N10" s="850" t="s">
        <v>16</v>
      </c>
      <c r="O10" s="851"/>
      <c r="P10" s="201"/>
      <c r="Q10" s="169" t="s">
        <v>14</v>
      </c>
      <c r="R10" s="104" t="s">
        <v>15</v>
      </c>
      <c r="S10" s="850" t="s">
        <v>16</v>
      </c>
      <c r="T10" s="851"/>
      <c r="U10" s="201"/>
      <c r="V10" s="169" t="s">
        <v>14</v>
      </c>
      <c r="W10" s="104" t="s">
        <v>15</v>
      </c>
      <c r="X10" s="850" t="s">
        <v>16</v>
      </c>
      <c r="Y10" s="851"/>
      <c r="Z10" s="201"/>
      <c r="AA10" s="247" t="s">
        <v>17</v>
      </c>
      <c r="AB10" s="850" t="s">
        <v>18</v>
      </c>
      <c r="AC10" s="851"/>
      <c r="AD10" s="159"/>
      <c r="AE10" s="848"/>
    </row>
    <row r="11" spans="1:31" ht="16.5" thickBot="1" x14ac:dyDescent="0.3">
      <c r="A11" s="142"/>
      <c r="B11" s="170" t="s">
        <v>19</v>
      </c>
      <c r="C11" s="105" t="s">
        <v>19</v>
      </c>
      <c r="D11" s="106" t="s">
        <v>19</v>
      </c>
      <c r="E11" s="171" t="s">
        <v>20</v>
      </c>
      <c r="F11" s="202"/>
      <c r="G11" s="209" t="s">
        <v>19</v>
      </c>
      <c r="H11" s="107" t="s">
        <v>19</v>
      </c>
      <c r="I11" s="108" t="s">
        <v>19</v>
      </c>
      <c r="J11" s="210" t="s">
        <v>20</v>
      </c>
      <c r="K11" s="202"/>
      <c r="L11" s="209" t="s">
        <v>19</v>
      </c>
      <c r="M11" s="107" t="s">
        <v>19</v>
      </c>
      <c r="N11" s="108" t="s">
        <v>19</v>
      </c>
      <c r="O11" s="210" t="s">
        <v>20</v>
      </c>
      <c r="P11" s="202"/>
      <c r="Q11" s="209" t="s">
        <v>19</v>
      </c>
      <c r="R11" s="107" t="s">
        <v>19</v>
      </c>
      <c r="S11" s="108" t="s">
        <v>19</v>
      </c>
      <c r="T11" s="210" t="s">
        <v>20</v>
      </c>
      <c r="U11" s="202"/>
      <c r="V11" s="209" t="s">
        <v>19</v>
      </c>
      <c r="W11" s="107" t="s">
        <v>19</v>
      </c>
      <c r="X11" s="108" t="s">
        <v>19</v>
      </c>
      <c r="Y11" s="210" t="s">
        <v>20</v>
      </c>
      <c r="Z11" s="202"/>
      <c r="AA11" s="209" t="s">
        <v>19</v>
      </c>
      <c r="AB11" s="108" t="s">
        <v>19</v>
      </c>
      <c r="AC11" s="210" t="s">
        <v>20</v>
      </c>
      <c r="AD11" s="160"/>
      <c r="AE11" s="849"/>
    </row>
    <row r="12" spans="1:31" ht="15.75" x14ac:dyDescent="0.25">
      <c r="A12" s="143" t="s">
        <v>21</v>
      </c>
      <c r="B12" s="172"/>
      <c r="C12" s="72"/>
      <c r="D12" s="72"/>
      <c r="E12" s="173"/>
      <c r="F12" s="203"/>
      <c r="G12" s="184"/>
      <c r="H12" s="73"/>
      <c r="I12" s="73"/>
      <c r="J12" s="185"/>
      <c r="K12" s="203"/>
      <c r="L12" s="184"/>
      <c r="M12" s="73"/>
      <c r="N12" s="73"/>
      <c r="O12" s="185"/>
      <c r="P12" s="203"/>
      <c r="Q12" s="184"/>
      <c r="R12" s="73"/>
      <c r="S12" s="73"/>
      <c r="T12" s="185"/>
      <c r="U12" s="203"/>
      <c r="V12" s="184"/>
      <c r="W12" s="73"/>
      <c r="X12" s="73"/>
      <c r="Y12" s="185"/>
      <c r="Z12" s="203"/>
      <c r="AA12" s="184"/>
      <c r="AB12" s="73"/>
      <c r="AC12" s="185"/>
      <c r="AD12" s="161"/>
      <c r="AE12" s="74"/>
    </row>
    <row r="13" spans="1:31" ht="15.75" x14ac:dyDescent="0.25">
      <c r="A13" s="144" t="s">
        <v>22</v>
      </c>
      <c r="B13" s="174">
        <f>'PSPF Income Statement '!B13+'ADB Income Statement'!B13+'HAA Income Statement'!B13+'ATB Income Statement'!B14+'ACC Income Statement'!B13+'AFSC Income Statement'!B13+'ANT Income Statement'!B13+'WCA Income Statement'!B13+'AASPA Income Statement'!B13</f>
        <v>7471332</v>
      </c>
      <c r="C13" s="174">
        <f>'PSPF Income Statement '!C13+'ADB Income Statement'!C13+'HAA Income Statement'!C13+'ATB Income Statement'!C14+'ACC Income Statement'!C13+'AFSC Income Statement'!C13+'ANT Income Statement'!C13+'WCA Income Statement'!C13+'AASPA Income Statement'!C13</f>
        <v>6041794.46</v>
      </c>
      <c r="D13" s="76">
        <f t="shared" ref="D13:D22" si="0">C13-B13</f>
        <v>-1429537.54</v>
      </c>
      <c r="E13" s="175">
        <f t="shared" ref="E13:E23" si="1">IF(ISERROR(D13/B13),"-",D13/B13)</f>
        <v>-0.19133636947200311</v>
      </c>
      <c r="F13" s="204"/>
      <c r="G13" s="174">
        <f>'PSPF Income Statement '!G13+'ADB Income Statement'!G13+'HAA Income Statement'!G13+'ATB Income Statement'!G14+'ACC Income Statement'!G13+'AFSC Income Statement'!G13+'ANT Income Statement'!G13+'WCA Income Statement'!G13+'AASPA Income Statement'!G13</f>
        <v>5140762</v>
      </c>
      <c r="H13" s="174">
        <f>'PSPF Income Statement '!H13+'ADB Income Statement'!H13+'HAA Income Statement'!H13+'ATB Income Statement'!H14+'ACC Income Statement'!H13+'AFSC Income Statement'!H13+'ANT Income Statement'!H13+'WCA Income Statement'!H13+'AASPA Income Statement'!H13</f>
        <v>3837749.3</v>
      </c>
      <c r="I13" s="76">
        <f t="shared" ref="I13:I22" si="2">H13-G13</f>
        <v>-1303012.7000000002</v>
      </c>
      <c r="J13" s="175">
        <f t="shared" ref="J13:J23" si="3">IF(ISERROR(I13/G13),"-",I13/G13)</f>
        <v>-0.25346684012992632</v>
      </c>
      <c r="K13" s="204"/>
      <c r="L13" s="174"/>
      <c r="M13" s="75">
        <v>0</v>
      </c>
      <c r="N13" s="76">
        <f t="shared" ref="N13:N22" si="4">M13-L13</f>
        <v>0</v>
      </c>
      <c r="O13" s="175" t="str">
        <f t="shared" ref="O13:O23" si="5">IF(ISERROR(N13/L13),"-",N13/L13)</f>
        <v>-</v>
      </c>
      <c r="P13" s="204"/>
      <c r="Q13" s="174"/>
      <c r="R13" s="75">
        <v>0</v>
      </c>
      <c r="S13" s="76">
        <f t="shared" ref="S13:S22" si="6">R13-Q13</f>
        <v>0</v>
      </c>
      <c r="T13" s="175" t="str">
        <f t="shared" ref="T13:T27" si="7">IF(ISERROR(S13/Q13),"-",S13/Q13)</f>
        <v>-</v>
      </c>
      <c r="U13" s="204"/>
      <c r="V13" s="181">
        <f t="shared" ref="V13:W22" si="8">B13+G13+L13+Q13</f>
        <v>12612094</v>
      </c>
      <c r="W13" s="76">
        <f t="shared" si="8"/>
        <v>9879543.7599999998</v>
      </c>
      <c r="X13" s="76">
        <f t="shared" ref="X13:X22" si="9">W13-V13</f>
        <v>-2732550.24</v>
      </c>
      <c r="Y13" s="175">
        <f t="shared" ref="Y13:Y23" si="10">IF(ISERROR(X13/V13),"-",X13/V13)</f>
        <v>-0.21666110639517913</v>
      </c>
      <c r="Z13" s="204"/>
      <c r="AA13" s="181">
        <f>'PSPF Income Statement '!AA13+'ADB Income Statement'!AA13+'HAA Income Statement'!AA13+'ACC Income Statement'!AA13+'ATB Income Statement'!AA14+'AFSC Income Statement'!AA13+'ANT Income Statement'!AA13+'WCA Income Statement'!AA13+'AASPA Income Statement'!AA13</f>
        <v>19966953</v>
      </c>
      <c r="AB13" s="76">
        <f t="shared" ref="AB13:AB21" si="11">AA13-W13</f>
        <v>10087409.24</v>
      </c>
      <c r="AC13" s="175">
        <f t="shared" ref="AC13:AC23" si="12">IF(ISERROR(AB13/AA13),"-",AB13/AA13)</f>
        <v>0.50520523787480243</v>
      </c>
      <c r="AD13" s="162"/>
      <c r="AE13" s="77"/>
    </row>
    <row r="14" spans="1:31" ht="15.75" x14ac:dyDescent="0.25">
      <c r="A14" s="145" t="s">
        <v>23</v>
      </c>
      <c r="B14" s="174">
        <f>'PSPF Income Statement '!B14+'ADB Income Statement'!B14+'HAA Income Statement'!B14+'ATB Income Statement'!B15+'ACC Income Statement'!B14+'AFSC Income Statement'!B14+'ANT Income Statement'!B14+'WCA Income Statement'!B14+'AASPA Income Statement'!B14</f>
        <v>2130775</v>
      </c>
      <c r="C14" s="174">
        <f>'PSPF Income Statement '!C14+'ADB Income Statement'!C14+'HAA Income Statement'!C14+'ATB Income Statement'!C15+'ACC Income Statement'!C14+'AFSC Income Statement'!C14+'ANT Income Statement'!C14+'WCA Income Statement'!C14+'AASPA Income Statement'!C14</f>
        <v>2009568</v>
      </c>
      <c r="D14" s="76">
        <f t="shared" si="0"/>
        <v>-121207</v>
      </c>
      <c r="E14" s="175">
        <f t="shared" si="1"/>
        <v>-5.6883997606504678E-2</v>
      </c>
      <c r="F14" s="204"/>
      <c r="G14" s="174">
        <f>'PSPF Income Statement '!G14+'ADB Income Statement'!G14+'HAA Income Statement'!G14+'ATB Income Statement'!G15+'ACC Income Statement'!G14+'AFSC Income Statement'!G14+'ANT Income Statement'!G14+'WCA Income Statement'!G14+'AASPA Income Statement'!G14</f>
        <v>14785</v>
      </c>
      <c r="H14" s="174">
        <f>'PSPF Income Statement '!H14+'ADB Income Statement'!H14+'HAA Income Statement'!H14+'ATB Income Statement'!H15+'ACC Income Statement'!H14+'AFSC Income Statement'!H14+'ANT Income Statement'!H14+'WCA Income Statement'!H14+'AASPA Income Statement'!H14</f>
        <v>204637</v>
      </c>
      <c r="I14" s="76">
        <f t="shared" si="2"/>
        <v>189852</v>
      </c>
      <c r="J14" s="175">
        <f t="shared" si="3"/>
        <v>12.840852215082855</v>
      </c>
      <c r="K14" s="204"/>
      <c r="L14" s="174">
        <v>0</v>
      </c>
      <c r="M14" s="75">
        <v>0</v>
      </c>
      <c r="N14" s="76">
        <f t="shared" si="4"/>
        <v>0</v>
      </c>
      <c r="O14" s="176" t="str">
        <f t="shared" si="5"/>
        <v>-</v>
      </c>
      <c r="P14" s="204"/>
      <c r="Q14" s="174"/>
      <c r="R14" s="75">
        <v>0</v>
      </c>
      <c r="S14" s="76">
        <f t="shared" si="6"/>
        <v>0</v>
      </c>
      <c r="T14" s="176" t="str">
        <f t="shared" si="7"/>
        <v>-</v>
      </c>
      <c r="U14" s="204"/>
      <c r="V14" s="181">
        <f t="shared" si="8"/>
        <v>2145560</v>
      </c>
      <c r="W14" s="76">
        <f t="shared" si="8"/>
        <v>2214205</v>
      </c>
      <c r="X14" s="76">
        <f t="shared" si="9"/>
        <v>68645</v>
      </c>
      <c r="Y14" s="175">
        <f t="shared" si="10"/>
        <v>3.1993978262085422E-2</v>
      </c>
      <c r="Z14" s="204"/>
      <c r="AA14" s="181">
        <f>'PSPF Income Statement '!AA14+'ADB Income Statement'!AA14+'HAA Income Statement'!AA14+'ACC Income Statement'!AA14+'ATB Income Statement'!AA15+'AFSC Income Statement'!AA14+'ANT Income Statement'!AA14+'WCA Income Statement'!AA14+'AASPA Income Statement'!AA14</f>
        <v>2264889.15</v>
      </c>
      <c r="AB14" s="76">
        <f t="shared" si="11"/>
        <v>50684.149999999907</v>
      </c>
      <c r="AC14" s="175">
        <f t="shared" si="12"/>
        <v>2.2378203365935108E-2</v>
      </c>
      <c r="AD14" s="162"/>
      <c r="AE14" s="77"/>
    </row>
    <row r="15" spans="1:31" ht="15.75" x14ac:dyDescent="0.25">
      <c r="A15" s="145" t="s">
        <v>24</v>
      </c>
      <c r="B15" s="174">
        <f>'PSPF Income Statement '!B15+'ADB Income Statement'!B15+'HAA Income Statement'!B15+'ATB Income Statement'!B16+'ACC Income Statement'!B15+'AFSC Income Statement'!B15+'ANT Income Statement'!B15+'WCA Income Statement'!B15+'AASPA Income Statement'!B15</f>
        <v>111568.99</v>
      </c>
      <c r="C15" s="174">
        <f>'PSPF Income Statement '!C15+'ADB Income Statement'!C15+'HAA Income Statement'!C15+'ATB Income Statement'!C16+'ACC Income Statement'!C15+'AFSC Income Statement'!C15+'ANT Income Statement'!C15+'WCA Income Statement'!C15+'AASPA Income Statement'!C15</f>
        <v>785.34</v>
      </c>
      <c r="D15" s="76">
        <f t="shared" si="0"/>
        <v>-110783.65000000001</v>
      </c>
      <c r="E15" s="175">
        <f t="shared" si="1"/>
        <v>-0.99296094730265105</v>
      </c>
      <c r="F15" s="205"/>
      <c r="G15" s="174">
        <f>'PSPF Income Statement '!G15+'ADB Income Statement'!G15+'HAA Income Statement'!G15+'ATB Income Statement'!G16+'ACC Income Statement'!G15+'AFSC Income Statement'!G15+'ANT Income Statement'!G15+'WCA Income Statement'!G15+'AASPA Income Statement'!G15</f>
        <v>110844.99</v>
      </c>
      <c r="H15" s="174">
        <f>'PSPF Income Statement '!H15+'ADB Income Statement'!H15+'HAA Income Statement'!H15+'ATB Income Statement'!H16+'ACC Income Statement'!H15+'AFSC Income Statement'!H15+'ANT Income Statement'!H15+'WCA Income Statement'!H15+'AASPA Income Statement'!H15</f>
        <v>7658.05</v>
      </c>
      <c r="I15" s="76">
        <f t="shared" si="2"/>
        <v>-103186.94</v>
      </c>
      <c r="J15" s="175">
        <f t="shared" si="3"/>
        <v>-0.93091207820939847</v>
      </c>
      <c r="K15" s="205"/>
      <c r="L15" s="174">
        <v>0</v>
      </c>
      <c r="M15" s="75">
        <v>0</v>
      </c>
      <c r="N15" s="76">
        <f t="shared" si="4"/>
        <v>0</v>
      </c>
      <c r="O15" s="175" t="str">
        <f t="shared" si="5"/>
        <v>-</v>
      </c>
      <c r="P15" s="205"/>
      <c r="Q15" s="174"/>
      <c r="R15" s="75">
        <v>0</v>
      </c>
      <c r="S15" s="76">
        <f t="shared" si="6"/>
        <v>0</v>
      </c>
      <c r="T15" s="175" t="str">
        <f t="shared" si="7"/>
        <v>-</v>
      </c>
      <c r="U15" s="205"/>
      <c r="V15" s="181">
        <f t="shared" si="8"/>
        <v>222413.98</v>
      </c>
      <c r="W15" s="76">
        <f t="shared" si="8"/>
        <v>8443.39</v>
      </c>
      <c r="X15" s="76">
        <f t="shared" si="9"/>
        <v>-213970.59000000003</v>
      </c>
      <c r="Y15" s="175">
        <f t="shared" si="10"/>
        <v>-0.96203750321809811</v>
      </c>
      <c r="Z15" s="205"/>
      <c r="AA15" s="181">
        <f>'PSPF Income Statement '!AA15+'ADB Income Statement'!AA15+'HAA Income Statement'!AA15+'ACC Income Statement'!AA15+'ATB Income Statement'!AA16+'AFSC Income Statement'!AA15+'ANT Income Statement'!AA15+'WCA Income Statement'!AA15+'AASPA Income Statement'!AA15</f>
        <v>442884.96</v>
      </c>
      <c r="AB15" s="76">
        <f>AA15-W15</f>
        <v>434441.57</v>
      </c>
      <c r="AC15" s="175">
        <f t="shared" si="12"/>
        <v>0.98093547814312765</v>
      </c>
      <c r="AD15" s="163"/>
      <c r="AE15" s="78"/>
    </row>
    <row r="16" spans="1:31" ht="15.75" x14ac:dyDescent="0.25">
      <c r="A16" s="145" t="s">
        <v>25</v>
      </c>
      <c r="B16" s="174">
        <f>'PSPF Income Statement '!B16+'ADB Income Statement'!B16+'HAA Income Statement'!B16+'ATB Income Statement'!B17+'ACC Income Statement'!B16+'AFSC Income Statement'!B16+'ANT Income Statement'!B16+'WCA Income Statement'!B16+'AASPA Income Statement'!B16</f>
        <v>579293</v>
      </c>
      <c r="C16" s="174">
        <f>'PSPF Income Statement '!C16+'ADB Income Statement'!C16+'HAA Income Statement'!C16+'ATB Income Statement'!C17+'ACC Income Statement'!C16+'AFSC Income Statement'!C16+'ANT Income Statement'!C16+'WCA Income Statement'!C16+'AASPA Income Statement'!C16</f>
        <v>468438</v>
      </c>
      <c r="D16" s="76">
        <f t="shared" si="0"/>
        <v>-110855</v>
      </c>
      <c r="E16" s="175">
        <f t="shared" si="1"/>
        <v>-0.19136257472470752</v>
      </c>
      <c r="F16" s="204"/>
      <c r="G16" s="174">
        <f>'PSPF Income Statement '!G16+'ADB Income Statement'!G16+'HAA Income Statement'!G16+'ATB Income Statement'!G17+'ACC Income Statement'!G16+'AFSC Income Statement'!G16+'ANT Income Statement'!G16+'WCA Income Statement'!G16+'AASPA Income Statement'!G16</f>
        <v>448917.22</v>
      </c>
      <c r="H16" s="174">
        <f>'PSPF Income Statement '!H16+'ADB Income Statement'!H16+'HAA Income Statement'!H16+'ATB Income Statement'!H17+'ACC Income Statement'!H16+'AFSC Income Statement'!H16+'ANT Income Statement'!H16+'WCA Income Statement'!H16+'AASPA Income Statement'!H16</f>
        <v>433049.53</v>
      </c>
      <c r="I16" s="76">
        <f t="shared" si="2"/>
        <v>-15867.689999999944</v>
      </c>
      <c r="J16" s="175">
        <f t="shared" si="3"/>
        <v>-3.5346583497064217E-2</v>
      </c>
      <c r="K16" s="204"/>
      <c r="L16" s="174">
        <v>0</v>
      </c>
      <c r="M16" s="75">
        <v>0</v>
      </c>
      <c r="N16" s="76">
        <f t="shared" si="4"/>
        <v>0</v>
      </c>
      <c r="O16" s="175" t="str">
        <f t="shared" si="5"/>
        <v>-</v>
      </c>
      <c r="P16" s="204"/>
      <c r="Q16" s="174"/>
      <c r="R16" s="75">
        <v>0</v>
      </c>
      <c r="S16" s="76">
        <f t="shared" si="6"/>
        <v>0</v>
      </c>
      <c r="T16" s="175" t="str">
        <f t="shared" si="7"/>
        <v>-</v>
      </c>
      <c r="U16" s="204"/>
      <c r="V16" s="181">
        <f t="shared" si="8"/>
        <v>1028210.22</v>
      </c>
      <c r="W16" s="76">
        <f t="shared" si="8"/>
        <v>901487.53</v>
      </c>
      <c r="X16" s="76">
        <f t="shared" si="9"/>
        <v>-126722.68999999994</v>
      </c>
      <c r="Y16" s="175">
        <f t="shared" si="10"/>
        <v>-0.12324589615536008</v>
      </c>
      <c r="Z16" s="204"/>
      <c r="AA16" s="181">
        <f>'PSPF Income Statement '!AA16+'ADB Income Statement'!AA16+'HAA Income Statement'!AA16+'ACC Income Statement'!AA16+'ATB Income Statement'!AA17+'AFSC Income Statement'!AA16+'ANT Income Statement'!AA16+'WCA Income Statement'!AA16+'AASPA Income Statement'!AA16</f>
        <v>1721583.22</v>
      </c>
      <c r="AB16" s="76">
        <f t="shared" si="11"/>
        <v>820095.69</v>
      </c>
      <c r="AC16" s="175">
        <f t="shared" si="12"/>
        <v>0.47636134023192905</v>
      </c>
      <c r="AD16" s="162"/>
      <c r="AE16" s="77"/>
    </row>
    <row r="17" spans="1:31" ht="15.75" x14ac:dyDescent="0.25">
      <c r="A17" s="145" t="s">
        <v>26</v>
      </c>
      <c r="B17" s="174">
        <f>'PSPF Income Statement '!B17+'ADB Income Statement'!B17+'HAA Income Statement'!B17+'ATB Income Statement'!B18+'ACC Income Statement'!B17+'AFSC Income Statement'!B17+'ANT Income Statement'!B17+'WCA Income Statement'!B17+'AASPA Income Statement'!B17</f>
        <v>998412.08499999996</v>
      </c>
      <c r="C17" s="174">
        <f>'PSPF Income Statement '!C17+'ADB Income Statement'!C17+'HAA Income Statement'!C17+'ATB Income Statement'!C18+'ACC Income Statement'!C17+'AFSC Income Statement'!C17+'ANT Income Statement'!C17+'WCA Income Statement'!C17+'AASPA Income Statement'!C17</f>
        <v>1091791.0900000001</v>
      </c>
      <c r="D17" s="76">
        <f t="shared" si="0"/>
        <v>93379.005000000121</v>
      </c>
      <c r="E17" s="175">
        <f t="shared" si="1"/>
        <v>9.3527518749935923E-2</v>
      </c>
      <c r="F17" s="204"/>
      <c r="G17" s="174">
        <f>'PSPF Income Statement '!G17+'ADB Income Statement'!G17+'HAA Income Statement'!G17+'ATB Income Statement'!G18+'ACC Income Statement'!G17+'AFSC Income Statement'!G17+'ANT Income Statement'!G17+'WCA Income Statement'!G17+'AASPA Income Statement'!G17</f>
        <v>391911.30499999993</v>
      </c>
      <c r="H17" s="174">
        <f>'PSPF Income Statement '!H17+'ADB Income Statement'!H17+'HAA Income Statement'!H17+'ATB Income Statement'!H18+'ACC Income Statement'!H17+'AFSC Income Statement'!H17+'ANT Income Statement'!H17+'WCA Income Statement'!H17+'AASPA Income Statement'!H17</f>
        <v>613809.06999999995</v>
      </c>
      <c r="I17" s="76">
        <f t="shared" si="2"/>
        <v>221897.76500000001</v>
      </c>
      <c r="J17" s="175">
        <f t="shared" si="3"/>
        <v>0.5661938356179852</v>
      </c>
      <c r="K17" s="204"/>
      <c r="L17" s="174">
        <v>0</v>
      </c>
      <c r="M17" s="75">
        <v>0</v>
      </c>
      <c r="N17" s="76">
        <f t="shared" si="4"/>
        <v>0</v>
      </c>
      <c r="O17" s="176" t="str">
        <f t="shared" si="5"/>
        <v>-</v>
      </c>
      <c r="P17" s="204"/>
      <c r="Q17" s="174"/>
      <c r="R17" s="75">
        <v>0</v>
      </c>
      <c r="S17" s="76">
        <f t="shared" si="6"/>
        <v>0</v>
      </c>
      <c r="T17" s="176" t="str">
        <f t="shared" si="7"/>
        <v>-</v>
      </c>
      <c r="U17" s="204"/>
      <c r="V17" s="181">
        <f t="shared" si="8"/>
        <v>1390323.39</v>
      </c>
      <c r="W17" s="76">
        <f t="shared" si="8"/>
        <v>1705600.1600000001</v>
      </c>
      <c r="X17" s="76">
        <f t="shared" si="9"/>
        <v>315276.77000000025</v>
      </c>
      <c r="Y17" s="175">
        <f t="shared" si="10"/>
        <v>0.22676506219175402</v>
      </c>
      <c r="Z17" s="204"/>
      <c r="AA17" s="181">
        <f>'PSPF Income Statement '!AA17+'ADB Income Statement'!AA17+'HAA Income Statement'!AA17+'ACC Income Statement'!AA17+'ATB Income Statement'!AA18+'AFSC Income Statement'!AA17+'ANT Income Statement'!AA17+'WCA Income Statement'!AA17+'AASPA Income Statement'!AA17</f>
        <v>1899838.5599999998</v>
      </c>
      <c r="AB17" s="76">
        <f>AA17-W17</f>
        <v>194238.39999999967</v>
      </c>
      <c r="AC17" s="175">
        <f t="shared" si="12"/>
        <v>0.1022394239645287</v>
      </c>
      <c r="AD17" s="162"/>
      <c r="AE17" s="77"/>
    </row>
    <row r="18" spans="1:31" ht="15.75" x14ac:dyDescent="0.25">
      <c r="A18" s="289" t="s">
        <v>27</v>
      </c>
      <c r="B18" s="174">
        <f>'PSPF Income Statement '!B18+'ADB Income Statement'!B18+'HAA Income Statement'!B18+'ATB Income Statement'!B19+'ACC Income Statement'!B18+'AFSC Income Statement'!B18+'ANT Income Statement'!B18+'WCA Income Statement'!B18+'AASPA Income Statement'!B18</f>
        <v>2233958</v>
      </c>
      <c r="C18" s="174">
        <f>'PSPF Income Statement '!C18+'ADB Income Statement'!C18+'HAA Income Statement'!C18+'ATB Income Statement'!C19+'ACC Income Statement'!C18+'AFSC Income Statement'!C18+'ANT Income Statement'!C18+'WCA Income Statement'!C18+'AASPA Income Statement'!C18</f>
        <v>2211183</v>
      </c>
      <c r="D18" s="76">
        <f t="shared" si="0"/>
        <v>-22775</v>
      </c>
      <c r="E18" s="175">
        <f t="shared" si="1"/>
        <v>-1.0194909662580943E-2</v>
      </c>
      <c r="F18" s="204"/>
      <c r="G18" s="174">
        <f>'PSPF Income Statement '!G18+'ADB Income Statement'!G18+'HAA Income Statement'!G18+'ATB Income Statement'!G19+'ACC Income Statement'!G18+'AFSC Income Statement'!G18+'ANT Income Statement'!G18+'WCA Income Statement'!G18+'AASPA Income Statement'!G18</f>
        <v>2936824</v>
      </c>
      <c r="H18" s="174">
        <f>'PSPF Income Statement '!H18+'ADB Income Statement'!H18+'HAA Income Statement'!H18+'ATB Income Statement'!H19+'ACC Income Statement'!H18+'AFSC Income Statement'!H18+'ANT Income Statement'!H18+'WCA Income Statement'!H18+'AASPA Income Statement'!H18</f>
        <v>2382771</v>
      </c>
      <c r="I18" s="76">
        <f t="shared" si="2"/>
        <v>-554053</v>
      </c>
      <c r="J18" s="175">
        <f t="shared" si="3"/>
        <v>-0.18865720247450987</v>
      </c>
      <c r="K18" s="204"/>
      <c r="L18" s="174">
        <v>0</v>
      </c>
      <c r="M18" s="75">
        <v>0</v>
      </c>
      <c r="N18" s="76">
        <f t="shared" si="4"/>
        <v>0</v>
      </c>
      <c r="O18" s="176" t="str">
        <f t="shared" si="5"/>
        <v>-</v>
      </c>
      <c r="P18" s="204"/>
      <c r="Q18" s="174"/>
      <c r="R18" s="75">
        <v>0</v>
      </c>
      <c r="S18" s="76">
        <f t="shared" si="6"/>
        <v>0</v>
      </c>
      <c r="T18" s="176" t="str">
        <f t="shared" si="7"/>
        <v>-</v>
      </c>
      <c r="U18" s="204"/>
      <c r="V18" s="181">
        <f t="shared" si="8"/>
        <v>5170782</v>
      </c>
      <c r="W18" s="76">
        <f t="shared" si="8"/>
        <v>4593954</v>
      </c>
      <c r="X18" s="76">
        <f t="shared" si="9"/>
        <v>-576828</v>
      </c>
      <c r="Y18" s="175">
        <f t="shared" si="10"/>
        <v>-0.11155527345767043</v>
      </c>
      <c r="Z18" s="204"/>
      <c r="AA18" s="181">
        <f>'PSPF Income Statement '!AA18+'ADB Income Statement'!AA18+'HAA Income Statement'!AA18+'ACC Income Statement'!AA18+'ATB Income Statement'!AA19+'AFSC Income Statement'!AA18+'ANT Income Statement'!AA18+'WCA Income Statement'!AA18+'AASPA Income Statement'!AA18</f>
        <v>9490093.8000000007</v>
      </c>
      <c r="AB18" s="76">
        <f t="shared" si="11"/>
        <v>4896139.8000000007</v>
      </c>
      <c r="AC18" s="175">
        <f t="shared" si="12"/>
        <v>0.51592111766060733</v>
      </c>
      <c r="AD18" s="162"/>
      <c r="AE18" s="77"/>
    </row>
    <row r="19" spans="1:31" ht="15.75" x14ac:dyDescent="0.25">
      <c r="A19" s="144" t="s">
        <v>28</v>
      </c>
      <c r="B19" s="174">
        <f>'PSPF Income Statement '!B19+'ADB Income Statement'!B19+'HAA Income Statement'!B19+'ATB Income Statement'!B20+'ACC Income Statement'!B19+'AFSC Income Statement'!B19+'ANT Income Statement'!B19+'WCA Income Statement'!B19+'AASPA Income Statement'!B19</f>
        <v>7465397.2300000004</v>
      </c>
      <c r="C19" s="174">
        <f>'PSPF Income Statement '!C19+'ADB Income Statement'!C19+'HAA Income Statement'!C19+'ATB Income Statement'!C20+'ACC Income Statement'!C19+'AFSC Income Statement'!C19+'ANT Income Statement'!C19+'WCA Income Statement'!C19+'AASPA Income Statement'!C19</f>
        <v>7798133.2300000004</v>
      </c>
      <c r="D19" s="76">
        <f t="shared" si="0"/>
        <v>332736</v>
      </c>
      <c r="E19" s="175">
        <f t="shared" si="1"/>
        <v>4.4570434733584831E-2</v>
      </c>
      <c r="F19" s="204"/>
      <c r="G19" s="174">
        <f>'PSPF Income Statement '!G19+'ADB Income Statement'!G19+'HAA Income Statement'!G19+'ATB Income Statement'!G20+'ACC Income Statement'!G19+'AFSC Income Statement'!G19+'ANT Income Statement'!G19+'WCA Income Statement'!G19+'AASPA Income Statement'!G19</f>
        <v>9835811</v>
      </c>
      <c r="H19" s="174">
        <f>'PSPF Income Statement '!H19+'ADB Income Statement'!H19+'HAA Income Statement'!H19+'ATB Income Statement'!H20+'ACC Income Statement'!H19+'AFSC Income Statement'!H19+'ANT Income Statement'!H19+'WCA Income Statement'!H19+'AASPA Income Statement'!H19</f>
        <v>8905941.7799999993</v>
      </c>
      <c r="I19" s="76">
        <f t="shared" si="2"/>
        <v>-929869.22000000067</v>
      </c>
      <c r="J19" s="175">
        <f t="shared" si="3"/>
        <v>-9.4539150864123012E-2</v>
      </c>
      <c r="K19" s="204"/>
      <c r="L19" s="174">
        <v>0</v>
      </c>
      <c r="M19" s="75">
        <v>0</v>
      </c>
      <c r="N19" s="76">
        <f t="shared" si="4"/>
        <v>0</v>
      </c>
      <c r="O19" s="176" t="str">
        <f t="shared" si="5"/>
        <v>-</v>
      </c>
      <c r="P19" s="204"/>
      <c r="Q19" s="174"/>
      <c r="R19" s="75">
        <v>0</v>
      </c>
      <c r="S19" s="76">
        <f t="shared" si="6"/>
        <v>0</v>
      </c>
      <c r="T19" s="176" t="str">
        <f t="shared" si="7"/>
        <v>-</v>
      </c>
      <c r="U19" s="204"/>
      <c r="V19" s="181">
        <f t="shared" si="8"/>
        <v>17301208.23</v>
      </c>
      <c r="W19" s="76">
        <f t="shared" si="8"/>
        <v>16704075.01</v>
      </c>
      <c r="X19" s="76">
        <f t="shared" si="9"/>
        <v>-597133.22000000067</v>
      </c>
      <c r="Y19" s="175">
        <f t="shared" si="10"/>
        <v>-3.4513960647244386E-2</v>
      </c>
      <c r="Z19" s="204"/>
      <c r="AA19" s="181">
        <f>'PSPF Income Statement '!AA19+'ADB Income Statement'!AA19+'HAA Income Statement'!AA19+'ACC Income Statement'!AA19+'ATB Income Statement'!AA20+'AFSC Income Statement'!AA19+'ANT Income Statement'!AA19+'WCA Income Statement'!AA19+'AASPA Income Statement'!AA19</f>
        <v>29826716.550000001</v>
      </c>
      <c r="AB19" s="76">
        <f t="shared" si="11"/>
        <v>13122641.540000001</v>
      </c>
      <c r="AC19" s="175">
        <f t="shared" si="12"/>
        <v>0.4399626595841305</v>
      </c>
      <c r="AD19" s="162"/>
      <c r="AE19" s="77"/>
    </row>
    <row r="20" spans="1:31" ht="15.75" x14ac:dyDescent="0.25">
      <c r="A20" s="145" t="s">
        <v>29</v>
      </c>
      <c r="B20" s="174">
        <f>'PSPF Income Statement '!B20+'ADB Income Statement'!B20+'HAA Income Statement'!B20+'ATB Income Statement'!B21+'ACC Income Statement'!B20+'AFSC Income Statement'!B20+'ANT Income Statement'!B20+'WCA Income Statement'!B20+'AASPA Income Statement'!B20</f>
        <v>0</v>
      </c>
      <c r="C20" s="174">
        <f>'PSPF Income Statement '!C20+'ADB Income Statement'!C20+'HAA Income Statement'!C20+'ATB Income Statement'!C21+'ACC Income Statement'!C20+'AFSC Income Statement'!C20+'ANT Income Statement'!C20+'WCA Income Statement'!C20+'AASPA Income Statement'!C20</f>
        <v>265</v>
      </c>
      <c r="D20" s="76">
        <f t="shared" si="0"/>
        <v>265</v>
      </c>
      <c r="E20" s="175" t="str">
        <f t="shared" si="1"/>
        <v>-</v>
      </c>
      <c r="F20" s="204"/>
      <c r="G20" s="174">
        <f>'PSPF Income Statement '!G20+'ADB Income Statement'!G20+'HAA Income Statement'!G20+'ATB Income Statement'!G21+'ACC Income Statement'!G20+'AFSC Income Statement'!G20+'ANT Income Statement'!G20+'WCA Income Statement'!G20+'AASPA Income Statement'!G20</f>
        <v>0</v>
      </c>
      <c r="H20" s="174">
        <f>'PSPF Income Statement '!H20+'ADB Income Statement'!H20+'HAA Income Statement'!H20+'ATB Income Statement'!H21+'ACC Income Statement'!H20+'AFSC Income Statement'!H20+'ANT Income Statement'!H20+'WCA Income Statement'!H20+'AASPA Income Statement'!H20</f>
        <v>0</v>
      </c>
      <c r="I20" s="76">
        <f t="shared" si="2"/>
        <v>0</v>
      </c>
      <c r="J20" s="175" t="str">
        <f t="shared" si="3"/>
        <v>-</v>
      </c>
      <c r="K20" s="204"/>
      <c r="L20" s="174">
        <v>0</v>
      </c>
      <c r="M20" s="75">
        <v>0</v>
      </c>
      <c r="N20" s="76">
        <f t="shared" si="4"/>
        <v>0</v>
      </c>
      <c r="O20" s="176" t="str">
        <f t="shared" si="5"/>
        <v>-</v>
      </c>
      <c r="P20" s="204"/>
      <c r="Q20" s="174"/>
      <c r="R20" s="75">
        <v>0</v>
      </c>
      <c r="S20" s="76">
        <f t="shared" si="6"/>
        <v>0</v>
      </c>
      <c r="T20" s="176" t="str">
        <f t="shared" si="7"/>
        <v>-</v>
      </c>
      <c r="U20" s="204"/>
      <c r="V20" s="181">
        <f t="shared" si="8"/>
        <v>0</v>
      </c>
      <c r="W20" s="76">
        <f t="shared" si="8"/>
        <v>265</v>
      </c>
      <c r="X20" s="76">
        <f t="shared" si="9"/>
        <v>265</v>
      </c>
      <c r="Y20" s="175" t="str">
        <f t="shared" si="10"/>
        <v>-</v>
      </c>
      <c r="Z20" s="204"/>
      <c r="AA20" s="181">
        <f>'PSPF Income Statement '!AA20+'ADB Income Statement'!AA20+'HAA Income Statement'!AA20+'ACC Income Statement'!AA20+'ATB Income Statement'!AA21+'AFSC Income Statement'!AA20+'ANT Income Statement'!AA20+'WCA Income Statement'!AA20+'AASPA Income Statement'!AA20</f>
        <v>0</v>
      </c>
      <c r="AB20" s="76">
        <f t="shared" si="11"/>
        <v>-265</v>
      </c>
      <c r="AC20" s="175" t="str">
        <f t="shared" si="12"/>
        <v>-</v>
      </c>
      <c r="AD20" s="162"/>
      <c r="AE20" s="77"/>
    </row>
    <row r="21" spans="1:31" ht="15.75" x14ac:dyDescent="0.25">
      <c r="A21" s="145" t="s">
        <v>30</v>
      </c>
      <c r="B21" s="174">
        <f>'PSPF Income Statement '!B21+'ADB Income Statement'!B21+'HAA Income Statement'!B21+'ATB Income Statement'!B22+'ACC Income Statement'!B21+'AFSC Income Statement'!B21+'ANT Income Statement'!B21+'WCA Income Statement'!B21+'AASPA Income Statement'!B21</f>
        <v>0</v>
      </c>
      <c r="C21" s="174">
        <f>'PSPF Income Statement '!C21+'ADB Income Statement'!C21+'HAA Income Statement'!C21+'ATB Income Statement'!C22+'ACC Income Statement'!C21+'AFSC Income Statement'!C21+'ANT Income Statement'!C21+'WCA Income Statement'!C21+'AASPA Income Statement'!C21</f>
        <v>0</v>
      </c>
      <c r="D21" s="76">
        <f t="shared" si="0"/>
        <v>0</v>
      </c>
      <c r="E21" s="175" t="str">
        <f t="shared" si="1"/>
        <v>-</v>
      </c>
      <c r="F21" s="204"/>
      <c r="G21" s="174">
        <f>'PSPF Income Statement '!G21+'ADB Income Statement'!G21+'HAA Income Statement'!G21+'ATB Income Statement'!G22+'ACC Income Statement'!G21+'AFSC Income Statement'!G21+'ANT Income Statement'!G21+'WCA Income Statement'!G21+'AASPA Income Statement'!G21</f>
        <v>0</v>
      </c>
      <c r="H21" s="174">
        <f>'PSPF Income Statement '!H21+'ADB Income Statement'!H21+'HAA Income Statement'!H21+'ATB Income Statement'!H22+'ACC Income Statement'!H21+'AFSC Income Statement'!H21+'ANT Income Statement'!H21+'WCA Income Statement'!H21+'AASPA Income Statement'!H21</f>
        <v>0</v>
      </c>
      <c r="I21" s="76">
        <f t="shared" si="2"/>
        <v>0</v>
      </c>
      <c r="J21" s="175" t="str">
        <f t="shared" si="3"/>
        <v>-</v>
      </c>
      <c r="K21" s="204"/>
      <c r="L21" s="174">
        <v>0</v>
      </c>
      <c r="M21" s="75">
        <v>0</v>
      </c>
      <c r="N21" s="76">
        <f t="shared" si="4"/>
        <v>0</v>
      </c>
      <c r="O21" s="175" t="str">
        <f t="shared" si="5"/>
        <v>-</v>
      </c>
      <c r="P21" s="204"/>
      <c r="Q21" s="174"/>
      <c r="R21" s="75">
        <v>0</v>
      </c>
      <c r="S21" s="76">
        <f t="shared" si="6"/>
        <v>0</v>
      </c>
      <c r="T21" s="175" t="str">
        <f t="shared" si="7"/>
        <v>-</v>
      </c>
      <c r="U21" s="204"/>
      <c r="V21" s="181">
        <f t="shared" si="8"/>
        <v>0</v>
      </c>
      <c r="W21" s="76">
        <f t="shared" si="8"/>
        <v>0</v>
      </c>
      <c r="X21" s="76">
        <f t="shared" si="9"/>
        <v>0</v>
      </c>
      <c r="Y21" s="175" t="str">
        <f t="shared" si="10"/>
        <v>-</v>
      </c>
      <c r="Z21" s="204"/>
      <c r="AA21" s="181">
        <f>'PSPF Income Statement '!AA21+'ADB Income Statement'!AA21+'HAA Income Statement'!AA21+'ACC Income Statement'!AA21+'ATB Income Statement'!AA22+'AFSC Income Statement'!AA21+'ANT Income Statement'!AA21+'WCA Income Statement'!AA21+'AASPA Income Statement'!AA21</f>
        <v>0</v>
      </c>
      <c r="AB21" s="76">
        <f t="shared" si="11"/>
        <v>0</v>
      </c>
      <c r="AC21" s="175" t="str">
        <f t="shared" si="12"/>
        <v>-</v>
      </c>
      <c r="AD21" s="162"/>
      <c r="AE21" s="78"/>
    </row>
    <row r="22" spans="1:31" ht="15.75" x14ac:dyDescent="0.25">
      <c r="A22" s="145" t="s">
        <v>31</v>
      </c>
      <c r="B22" s="174">
        <f>'PSPF Income Statement '!B22+'ADB Income Statement'!B22+'HAA Income Statement'!B22+'ATB Income Statement'!B23+'ACC Income Statement'!B22+'AFSC Income Statement'!B22+'ANT Income Statement'!B22+'WCA Income Statement'!B22+'AASPA Income Statement'!B22</f>
        <v>1554999.9999999993</v>
      </c>
      <c r="C22" s="174">
        <f>'PSPF Income Statement '!C22+'ADB Income Statement'!C22+'HAA Income Statement'!C22+'ATB Income Statement'!C23+'ACC Income Statement'!C22+'AFSC Income Statement'!C22+'ANT Income Statement'!C22+'WCA Income Statement'!C22+'AASPA Income Statement'!C22</f>
        <v>1493639.27</v>
      </c>
      <c r="D22" s="76">
        <f t="shared" si="0"/>
        <v>-61360.729999999283</v>
      </c>
      <c r="E22" s="175">
        <f t="shared" si="1"/>
        <v>-3.9460276527330744E-2</v>
      </c>
      <c r="F22" s="204"/>
      <c r="G22" s="174">
        <f>'PSPF Income Statement '!G22+'ADB Income Statement'!G22+'HAA Income Statement'!G22+'ATB Income Statement'!G23+'ACC Income Statement'!G22+'AFSC Income Statement'!G22+'ANT Income Statement'!G22+'WCA Income Statement'!G22+'AASPA Income Statement'!G22</f>
        <v>1554999.9999999993</v>
      </c>
      <c r="H22" s="174">
        <f>'PSPF Income Statement '!H22+'ADB Income Statement'!H22+'HAA Income Statement'!H22+'ATB Income Statement'!H23+'ACC Income Statement'!H22+'AFSC Income Statement'!H22+'ANT Income Statement'!H22+'WCA Income Statement'!H22+'AASPA Income Statement'!H22</f>
        <v>1538564.66</v>
      </c>
      <c r="I22" s="76">
        <f t="shared" si="2"/>
        <v>-16435.339999999385</v>
      </c>
      <c r="J22" s="175">
        <f t="shared" si="3"/>
        <v>-1.0569350482314723E-2</v>
      </c>
      <c r="K22" s="204"/>
      <c r="L22" s="174">
        <v>0</v>
      </c>
      <c r="M22" s="75">
        <v>0</v>
      </c>
      <c r="N22" s="76">
        <f t="shared" si="4"/>
        <v>0</v>
      </c>
      <c r="O22" s="176" t="str">
        <f t="shared" si="5"/>
        <v>-</v>
      </c>
      <c r="P22" s="204"/>
      <c r="Q22" s="174"/>
      <c r="R22" s="75">
        <v>0</v>
      </c>
      <c r="S22" s="76">
        <f t="shared" si="6"/>
        <v>0</v>
      </c>
      <c r="T22" s="176" t="str">
        <f t="shared" si="7"/>
        <v>-</v>
      </c>
      <c r="U22" s="204"/>
      <c r="V22" s="181">
        <f t="shared" si="8"/>
        <v>3109999.9999999986</v>
      </c>
      <c r="W22" s="76">
        <f t="shared" si="8"/>
        <v>3032203.9299999997</v>
      </c>
      <c r="X22" s="76">
        <f t="shared" si="9"/>
        <v>-77796.069999998901</v>
      </c>
      <c r="Y22" s="175">
        <f t="shared" si="10"/>
        <v>-2.5014813504822809E-2</v>
      </c>
      <c r="Z22" s="204"/>
      <c r="AA22" s="181">
        <f>'PSPF Income Statement '!AA22+'ADB Income Statement'!AA22+'HAA Income Statement'!AA22+'ACC Income Statement'!AA22+'ATB Income Statement'!AA23+'AFSC Income Statement'!AA22+'ANT Income Statement'!AA22+'WCA Income Statement'!AA22+'AASPA Income Statement'!AA22</f>
        <v>6219999.9999999972</v>
      </c>
      <c r="AB22" s="76">
        <f>AA22-W22</f>
        <v>3187796.0699999975</v>
      </c>
      <c r="AC22" s="175">
        <f t="shared" si="12"/>
        <v>0.51250740675241135</v>
      </c>
      <c r="AD22" s="162"/>
      <c r="AE22" s="77"/>
    </row>
    <row r="23" spans="1:31" ht="15.75" x14ac:dyDescent="0.25">
      <c r="A23" s="146" t="s">
        <v>32</v>
      </c>
      <c r="B23" s="177">
        <f>'PSPF Income Statement '!B23+'ADB Income Statement'!B23+'HAA Income Statement'!B23+'ATB Income Statement'!B24+'ACC Income Statement'!B23+'AFSC Income Statement'!B23+'ANT Income Statement'!B23+'WCA Income Statement'!B23+'AASPA Income Statement'!B23</f>
        <v>22545736.305</v>
      </c>
      <c r="C23" s="110">
        <f>'PSPF Income Statement '!C23+'ADB Income Statement'!C23+'HAA Income Statement'!C23+'ATB Income Statement'!C24+'ACC Income Statement'!C23+'AFSC Income Statement'!C23+'ANT Income Statement'!C23+'WCA Income Statement'!C23+'AASPA Income Statement'!C23</f>
        <v>21115597.390000001</v>
      </c>
      <c r="D23" s="110">
        <f>SUM(D13:D22)</f>
        <v>-1430138.9149999991</v>
      </c>
      <c r="E23" s="178">
        <f t="shared" si="1"/>
        <v>-6.3432788162382403E-2</v>
      </c>
      <c r="F23" s="206"/>
      <c r="G23" s="177">
        <f>'PSPF Income Statement '!G23+'ADB Income Statement'!G23+'HAA Income Statement'!G23+'ATB Income Statement'!G24+'ACC Income Statement'!G23+'AFSC Income Statement'!G23+'ANT Income Statement'!G23+'WCA Income Statement'!G23+'AASPA Income Statement'!G23</f>
        <v>20434855.515000001</v>
      </c>
      <c r="H23" s="110">
        <f>'PSPF Income Statement '!H23+'ADB Income Statement'!H23+'HAA Income Statement'!H23+'ATB Income Statement'!H24+'ACC Income Statement'!H23+'AFSC Income Statement'!H23+'ANT Income Statement'!H23+'WCA Income Statement'!H23+'AASPA Income Statement'!H23</f>
        <v>17924180.389999997</v>
      </c>
      <c r="I23" s="110">
        <f>SUM(I13:I22)</f>
        <v>-2510675.125</v>
      </c>
      <c r="J23" s="178">
        <f t="shared" si="3"/>
        <v>-0.12286238692302298</v>
      </c>
      <c r="K23" s="206"/>
      <c r="L23" s="177">
        <f>SUM(L13:L22)</f>
        <v>0</v>
      </c>
      <c r="M23" s="110">
        <f>SUM(M13:M22)</f>
        <v>0</v>
      </c>
      <c r="N23" s="110">
        <f>SUM(N13:N22)</f>
        <v>0</v>
      </c>
      <c r="O23" s="178" t="str">
        <f t="shared" si="5"/>
        <v>-</v>
      </c>
      <c r="P23" s="206"/>
      <c r="Q23" s="177"/>
      <c r="R23" s="110">
        <f>SUM(R13:R22)</f>
        <v>0</v>
      </c>
      <c r="S23" s="110">
        <f>SUM(S13:S22)</f>
        <v>0</v>
      </c>
      <c r="T23" s="236" t="str">
        <f t="shared" si="7"/>
        <v>-</v>
      </c>
      <c r="U23" s="206"/>
      <c r="V23" s="177">
        <f>SUM(V13:V22)</f>
        <v>42980591.82</v>
      </c>
      <c r="W23" s="110">
        <f>SUM(W13:W22)</f>
        <v>39039777.780000001</v>
      </c>
      <c r="X23" s="110">
        <f>SUM(X13:X22)</f>
        <v>-3940814.0399999996</v>
      </c>
      <c r="Y23" s="236">
        <f t="shared" si="10"/>
        <v>-9.1688221895684444E-2</v>
      </c>
      <c r="Z23" s="206"/>
      <c r="AA23" s="242">
        <f>SUM(AA13:AA22)</f>
        <v>71832959.239999995</v>
      </c>
      <c r="AB23" s="109">
        <f>SUM(AB13:AB22)</f>
        <v>32793181.459999997</v>
      </c>
      <c r="AC23" s="248">
        <f t="shared" si="12"/>
        <v>0.45651998479465677</v>
      </c>
      <c r="AD23" s="164"/>
      <c r="AE23" s="80"/>
    </row>
    <row r="24" spans="1:31" ht="15.75" x14ac:dyDescent="0.25">
      <c r="A24" s="147"/>
      <c r="B24" s="179"/>
      <c r="C24" s="81"/>
      <c r="D24" s="81"/>
      <c r="E24" s="180"/>
      <c r="F24" s="204"/>
      <c r="G24" s="211"/>
      <c r="H24" s="129"/>
      <c r="I24" s="129"/>
      <c r="J24" s="212"/>
      <c r="K24" s="204"/>
      <c r="L24" s="179"/>
      <c r="M24" s="81"/>
      <c r="N24" s="81"/>
      <c r="O24" s="180"/>
      <c r="P24" s="204"/>
      <c r="Q24" s="211"/>
      <c r="R24" s="129"/>
      <c r="S24" s="129"/>
      <c r="T24" s="237" t="str">
        <f t="shared" si="7"/>
        <v>-</v>
      </c>
      <c r="U24" s="204"/>
      <c r="V24" s="179"/>
      <c r="W24" s="81"/>
      <c r="X24" s="81"/>
      <c r="Y24" s="180"/>
      <c r="Z24" s="204"/>
      <c r="AA24" s="179"/>
      <c r="AB24" s="81"/>
      <c r="AC24" s="180"/>
      <c r="AD24" s="162"/>
      <c r="AE24" s="77"/>
    </row>
    <row r="25" spans="1:31" ht="15.75" x14ac:dyDescent="0.25">
      <c r="A25" s="148" t="s">
        <v>33</v>
      </c>
      <c r="B25" s="181"/>
      <c r="C25" s="76"/>
      <c r="D25" s="76">
        <f>C25-B25</f>
        <v>0</v>
      </c>
      <c r="E25" s="176" t="str">
        <f>IF(ISERROR(D25/B25),"-",D25/B25)</f>
        <v>-</v>
      </c>
      <c r="F25" s="204"/>
      <c r="G25" s="213">
        <v>0</v>
      </c>
      <c r="H25" s="130">
        <v>0</v>
      </c>
      <c r="I25" s="130">
        <f>H25-G25</f>
        <v>0</v>
      </c>
      <c r="J25" s="214" t="str">
        <f>IF(ISERROR(I25/G25),"-",I25/G25)</f>
        <v>-</v>
      </c>
      <c r="K25" s="204"/>
      <c r="L25" s="181">
        <v>0</v>
      </c>
      <c r="M25" s="76">
        <v>0</v>
      </c>
      <c r="N25" s="76">
        <f>L25-M25</f>
        <v>0</v>
      </c>
      <c r="O25" s="176" t="str">
        <f>IF(ISERROR(N25/L25),"-",N25/L25)</f>
        <v>-</v>
      </c>
      <c r="P25" s="204"/>
      <c r="Q25" s="213"/>
      <c r="R25" s="130"/>
      <c r="S25" s="130">
        <f>Q25-R25</f>
        <v>0</v>
      </c>
      <c r="T25" s="214" t="str">
        <f t="shared" si="7"/>
        <v>-</v>
      </c>
      <c r="U25" s="204"/>
      <c r="V25" s="181">
        <f>B25+G25+L25+Q25</f>
        <v>0</v>
      </c>
      <c r="W25" s="76">
        <f>C25+H25+M25+R25</f>
        <v>0</v>
      </c>
      <c r="X25" s="76"/>
      <c r="Y25" s="186"/>
      <c r="Z25" s="204"/>
      <c r="AA25" s="181"/>
      <c r="AB25" s="76"/>
      <c r="AC25" s="186"/>
      <c r="AD25" s="162"/>
      <c r="AE25" s="77"/>
    </row>
    <row r="26" spans="1:31" ht="15.75" x14ac:dyDescent="0.25">
      <c r="A26" s="149"/>
      <c r="B26" s="182"/>
      <c r="C26" s="82"/>
      <c r="D26" s="82"/>
      <c r="E26" s="183"/>
      <c r="F26" s="203"/>
      <c r="G26" s="215"/>
      <c r="H26" s="131"/>
      <c r="I26" s="131"/>
      <c r="J26" s="216"/>
      <c r="K26" s="203"/>
      <c r="L26" s="182"/>
      <c r="M26" s="82"/>
      <c r="N26" s="82"/>
      <c r="O26" s="183"/>
      <c r="P26" s="203"/>
      <c r="Q26" s="215"/>
      <c r="R26" s="131"/>
      <c r="S26" s="131"/>
      <c r="T26" s="227" t="str">
        <f t="shared" si="7"/>
        <v>-</v>
      </c>
      <c r="U26" s="203"/>
      <c r="V26" s="182"/>
      <c r="W26" s="82"/>
      <c r="X26" s="82"/>
      <c r="Y26" s="183"/>
      <c r="Z26" s="203"/>
      <c r="AA26" s="182"/>
      <c r="AB26" s="82"/>
      <c r="AC26" s="183"/>
      <c r="AD26" s="161"/>
      <c r="AE26" s="77"/>
    </row>
    <row r="27" spans="1:31" ht="15.75" x14ac:dyDescent="0.25">
      <c r="A27" s="146" t="s">
        <v>34</v>
      </c>
      <c r="B27" s="177">
        <f>B23+B25</f>
        <v>22545736.305</v>
      </c>
      <c r="C27" s="110">
        <f>C23+C25</f>
        <v>21115597.390000001</v>
      </c>
      <c r="D27" s="110">
        <f>D23+D25</f>
        <v>-1430138.9149999991</v>
      </c>
      <c r="E27" s="178">
        <f>IF(ISERROR(D27/B27),"-",D27/B27)</f>
        <v>-6.3432788162382403E-2</v>
      </c>
      <c r="F27" s="206"/>
      <c r="G27" s="177">
        <f>G23+G25</f>
        <v>20434855.515000001</v>
      </c>
      <c r="H27" s="110">
        <f>H23+H25</f>
        <v>17924180.389999997</v>
      </c>
      <c r="I27" s="110">
        <f>I23+I25</f>
        <v>-2510675.125</v>
      </c>
      <c r="J27" s="178">
        <f>IF(ISERROR(I27/G27),"-",I27/G27)</f>
        <v>-0.12286238692302298</v>
      </c>
      <c r="K27" s="206"/>
      <c r="L27" s="177">
        <f>L23+L25</f>
        <v>0</v>
      </c>
      <c r="M27" s="110">
        <f>M23+M25</f>
        <v>0</v>
      </c>
      <c r="N27" s="110">
        <f>N23+N25</f>
        <v>0</v>
      </c>
      <c r="O27" s="178" t="str">
        <f>IF(ISERROR(N27/L27),"-",N27/L27)</f>
        <v>-</v>
      </c>
      <c r="P27" s="206"/>
      <c r="Q27" s="177">
        <f>Q23+Q25</f>
        <v>0</v>
      </c>
      <c r="R27" s="110">
        <f>R23+R25</f>
        <v>0</v>
      </c>
      <c r="S27" s="110">
        <f>S23+S25</f>
        <v>0</v>
      </c>
      <c r="T27" s="178" t="str">
        <f t="shared" si="7"/>
        <v>-</v>
      </c>
      <c r="U27" s="206"/>
      <c r="V27" s="177">
        <f>V23+V25</f>
        <v>42980591.82</v>
      </c>
      <c r="W27" s="110">
        <f>W23+W25</f>
        <v>39039777.780000001</v>
      </c>
      <c r="X27" s="110">
        <f>X23+X25</f>
        <v>-3940814.0399999996</v>
      </c>
      <c r="Y27" s="178">
        <f>IF(ISERROR(X27/V27),"-",X27/V27)</f>
        <v>-9.1688221895684444E-2</v>
      </c>
      <c r="Z27" s="206"/>
      <c r="AA27" s="242">
        <f>AA23+AA25</f>
        <v>71832959.239999995</v>
      </c>
      <c r="AB27" s="109">
        <f>AA27-W27</f>
        <v>32793181.459999993</v>
      </c>
      <c r="AC27" s="248">
        <f>IF(ISERROR(AB27/AA27),"-",AB27/AA27)</f>
        <v>0.45651998479465672</v>
      </c>
      <c r="AD27" s="164"/>
      <c r="AE27" s="80"/>
    </row>
    <row r="28" spans="1:31" ht="15.75" x14ac:dyDescent="0.25">
      <c r="A28" s="150"/>
      <c r="B28" s="184"/>
      <c r="C28" s="73"/>
      <c r="D28" s="73"/>
      <c r="E28" s="185"/>
      <c r="F28" s="203"/>
      <c r="G28" s="217"/>
      <c r="H28" s="132"/>
      <c r="I28" s="132"/>
      <c r="J28" s="218"/>
      <c r="K28" s="203"/>
      <c r="L28" s="184"/>
      <c r="M28" s="73"/>
      <c r="N28" s="73"/>
      <c r="O28" s="185"/>
      <c r="P28" s="203"/>
      <c r="Q28" s="217"/>
      <c r="R28" s="132"/>
      <c r="S28" s="132"/>
      <c r="T28" s="218"/>
      <c r="U28" s="203"/>
      <c r="V28" s="179"/>
      <c r="W28" s="81"/>
      <c r="X28" s="73"/>
      <c r="Y28" s="185"/>
      <c r="Z28" s="203"/>
      <c r="AA28" s="179">
        <f>'PSPF Income Statement '!AA28+'ADB Income Statement'!AA28+'HAA Income Statement'!AA28+'ACC Income Statement'!AA28+'ATB Income Statement'!AA29+'AFSC Income Statement'!AA28+'ANT Income Statement'!AA28+'WCA Income Statement'!AA28</f>
        <v>0</v>
      </c>
      <c r="AB28" s="73"/>
      <c r="AC28" s="185"/>
      <c r="AD28" s="161"/>
      <c r="AE28" s="77"/>
    </row>
    <row r="29" spans="1:31" ht="15.75" x14ac:dyDescent="0.25">
      <c r="A29" s="148" t="s">
        <v>35</v>
      </c>
      <c r="B29" s="181"/>
      <c r="C29" s="76"/>
      <c r="D29" s="76"/>
      <c r="E29" s="186"/>
      <c r="F29" s="204"/>
      <c r="G29" s="213"/>
      <c r="H29" s="130"/>
      <c r="I29" s="130"/>
      <c r="J29" s="219"/>
      <c r="K29" s="204"/>
      <c r="L29" s="181"/>
      <c r="M29" s="76"/>
      <c r="N29" s="76"/>
      <c r="O29" s="186"/>
      <c r="P29" s="204"/>
      <c r="Q29" s="213"/>
      <c r="R29" s="130"/>
      <c r="S29" s="130"/>
      <c r="T29" s="219"/>
      <c r="U29" s="204"/>
      <c r="V29" s="181"/>
      <c r="W29" s="76"/>
      <c r="X29" s="76"/>
      <c r="Y29" s="186"/>
      <c r="Z29" s="204"/>
      <c r="AA29" s="181">
        <f>'PSPF Income Statement '!AA29+'ADB Income Statement'!AA29+'HAA Income Statement'!AA29+'ACC Income Statement'!AA29+'ATB Income Statement'!AA30+'AFSC Income Statement'!AA29+'ANT Income Statement'!AA29+'WCA Income Statement'!AA29</f>
        <v>0</v>
      </c>
      <c r="AB29" s="76"/>
      <c r="AC29" s="186"/>
      <c r="AD29" s="162"/>
      <c r="AE29" s="77"/>
    </row>
    <row r="30" spans="1:31" ht="15.75" x14ac:dyDescent="0.25">
      <c r="A30" s="151"/>
      <c r="B30" s="181"/>
      <c r="C30" s="76"/>
      <c r="D30" s="76"/>
      <c r="E30" s="186"/>
      <c r="F30" s="204"/>
      <c r="G30" s="213"/>
      <c r="H30" s="130"/>
      <c r="I30" s="130"/>
      <c r="J30" s="219"/>
      <c r="K30" s="204"/>
      <c r="L30" s="181"/>
      <c r="M30" s="76"/>
      <c r="N30" s="76"/>
      <c r="O30" s="234"/>
      <c r="P30" s="204"/>
      <c r="Q30" s="213"/>
      <c r="R30" s="130"/>
      <c r="S30" s="130"/>
      <c r="T30" s="219"/>
      <c r="U30" s="204"/>
      <c r="V30" s="181"/>
      <c r="W30" s="76"/>
      <c r="X30" s="76"/>
      <c r="Y30" s="186"/>
      <c r="Z30" s="204"/>
      <c r="AA30" s="181">
        <f>'PSPF Income Statement '!AA30+'ADB Income Statement'!AA30+'HAA Income Statement'!AA30+'ACC Income Statement'!AA30+'ATB Income Statement'!AA31+'AFSC Income Statement'!AA30+'ANT Income Statement'!AA30+'WCA Income Statement'!AA30</f>
        <v>0</v>
      </c>
      <c r="AB30" s="76"/>
      <c r="AC30" s="186"/>
      <c r="AD30" s="162"/>
      <c r="AE30" s="77"/>
    </row>
    <row r="31" spans="1:31" ht="15.75" x14ac:dyDescent="0.25">
      <c r="A31" s="148" t="s">
        <v>36</v>
      </c>
      <c r="B31" s="181"/>
      <c r="C31" s="76"/>
      <c r="D31" s="76"/>
      <c r="E31" s="186"/>
      <c r="F31" s="204"/>
      <c r="G31" s="213"/>
      <c r="H31" s="130"/>
      <c r="I31" s="130"/>
      <c r="J31" s="219"/>
      <c r="K31" s="204"/>
      <c r="L31" s="181"/>
      <c r="M31" s="76"/>
      <c r="N31" s="76"/>
      <c r="O31" s="186"/>
      <c r="P31" s="204"/>
      <c r="Q31" s="213"/>
      <c r="R31" s="130"/>
      <c r="S31" s="130"/>
      <c r="T31" s="219"/>
      <c r="U31" s="204"/>
      <c r="V31" s="181"/>
      <c r="W31" s="76"/>
      <c r="X31" s="76"/>
      <c r="Y31" s="186"/>
      <c r="Z31" s="204"/>
      <c r="AA31" s="181">
        <f>'PSPF Income Statement '!AA31+'ADB Income Statement'!AA31+'HAA Income Statement'!AA31+'ACC Income Statement'!AA31+'ATB Income Statement'!AA32+'AFSC Income Statement'!AA31+'ANT Income Statement'!AA31+'WCA Income Statement'!AA31</f>
        <v>0</v>
      </c>
      <c r="AB31" s="76"/>
      <c r="AC31" s="186"/>
      <c r="AD31" s="162"/>
      <c r="AE31" s="77"/>
    </row>
    <row r="32" spans="1:31" ht="15.75" x14ac:dyDescent="0.25">
      <c r="A32" s="145" t="s">
        <v>37</v>
      </c>
      <c r="B32" s="181">
        <f>'PSPF Income Statement '!B32+'ADB Income Statement'!B32+'HAA Income Statement'!B32+'ATB Income Statement'!B33+'ACC Income Statement'!B32+'AFSC Income Statement'!B32+'ANT Income Statement'!B32+'WCA Income Statement'!B32+'AASPA Income Statement'!B32</f>
        <v>9071119.3499999996</v>
      </c>
      <c r="C32" s="76">
        <f>'PSPF Income Statement '!C32+'ADB Income Statement'!C32+'HAA Income Statement'!C32+'ATB Income Statement'!C33+'ACC Income Statement'!C32+'AFSC Income Statement'!C32+'ANT Income Statement'!C32+'WCA Income Statement'!C32+'AASPA Income Statement'!C32</f>
        <v>8759854.0800000001</v>
      </c>
      <c r="D32" s="76">
        <f t="shared" ref="D32:D39" si="13">B32-C32</f>
        <v>311265.26999999955</v>
      </c>
      <c r="E32" s="175">
        <f t="shared" ref="E32:E40" si="14">IF(ISERROR(D32/B32),"-",D32/B32)</f>
        <v>3.4313876600025064E-2</v>
      </c>
      <c r="F32" s="205"/>
      <c r="G32" s="213">
        <f>'PSPF Income Statement '!G32+'ADB Income Statement'!G32+'HAA Income Statement'!G32+'ATB Income Statement'!G33+'ACC Income Statement'!G32+'AFSC Income Statement'!G32+'ANT Income Statement'!G32+'WCA Income Statement'!G32+'AASPA Income Statement'!G32</f>
        <v>9075217.0499999989</v>
      </c>
      <c r="H32" s="130">
        <f>'PSPF Income Statement '!H32+'ADB Income Statement'!H32+'HAA Income Statement'!H32+'ATB Income Statement'!H33+'ACC Income Statement'!H32+'AFSC Income Statement'!H32+'ANT Income Statement'!H32+'WCA Income Statement'!H32+'AASPA Income Statement'!H32</f>
        <v>8691586.1099999994</v>
      </c>
      <c r="I32" s="130">
        <f t="shared" ref="I32:I39" si="15">G32-H32</f>
        <v>383630.93999999948</v>
      </c>
      <c r="J32" s="220">
        <f t="shared" ref="J32:J40" si="16">IF(ISERROR(I32/G32),"-",I32/G32)</f>
        <v>4.2272370774867528E-2</v>
      </c>
      <c r="K32" s="205"/>
      <c r="L32" s="181">
        <v>0</v>
      </c>
      <c r="M32" s="76">
        <v>0</v>
      </c>
      <c r="N32" s="76">
        <f t="shared" ref="N32:N39" si="17">L32-M32</f>
        <v>0</v>
      </c>
      <c r="O32" s="175" t="str">
        <f t="shared" ref="O32:O40" si="18">IF(ISERROR(N32/L32),"-",N32/L32)</f>
        <v>-</v>
      </c>
      <c r="P32" s="205"/>
      <c r="Q32" s="213">
        <v>0</v>
      </c>
      <c r="R32" s="130">
        <v>0</v>
      </c>
      <c r="S32" s="130">
        <f t="shared" ref="S32:S39" si="19">Q32-R32</f>
        <v>0</v>
      </c>
      <c r="T32" s="220" t="str">
        <f t="shared" ref="T32:T40" si="20">IF(ISERROR(S32/Q32),"-",S32/Q32)</f>
        <v>-</v>
      </c>
      <c r="U32" s="205"/>
      <c r="V32" s="181">
        <f t="shared" ref="V32:W39" si="21">B32+G32+L32+Q32</f>
        <v>18146336.399999999</v>
      </c>
      <c r="W32" s="76">
        <f t="shared" si="21"/>
        <v>17451440.189999998</v>
      </c>
      <c r="X32" s="76">
        <f t="shared" ref="X32:X39" si="22">V32-W32</f>
        <v>694896.21000000089</v>
      </c>
      <c r="Y32" s="175">
        <f t="shared" ref="Y32:Y40" si="23">IF(ISERROR(X32/V32),"-",X32/V32)</f>
        <v>3.8294022257848198E-2</v>
      </c>
      <c r="Z32" s="205"/>
      <c r="AA32" s="181">
        <f>'PSPF Income Statement '!AA32+'ADB Income Statement'!AA32+'HAA Income Statement'!AA32+'ACC Income Statement'!AA32+'ATB Income Statement'!AA33+'AFSC Income Statement'!AA32+'ANT Income Statement'!AA32+'WCA Income Statement'!AA32+'AASPA Income Statement'!AA32</f>
        <v>31570909.299999997</v>
      </c>
      <c r="AB32" s="76">
        <f t="shared" ref="AB32:AB39" si="24">AA32-W32</f>
        <v>14119469.109999999</v>
      </c>
      <c r="AC32" s="175">
        <f t="shared" ref="AC32:AC40" si="25">IF(ISERROR(AB32/AA32),"-",AB32/AA32)</f>
        <v>0.44723035931055682</v>
      </c>
      <c r="AD32" s="163"/>
      <c r="AE32" s="83"/>
    </row>
    <row r="33" spans="1:31" ht="15.75" x14ac:dyDescent="0.25">
      <c r="A33" s="145" t="s">
        <v>38</v>
      </c>
      <c r="B33" s="181">
        <f>'PSPF Income Statement '!B33+'ADB Income Statement'!B33+'HAA Income Statement'!B33+'ATB Income Statement'!B34+'ACC Income Statement'!B33+'AFSC Income Statement'!B33+'ANT Income Statement'!B33+'WCA Income Statement'!B33+'AASPA Income Statement'!B33</f>
        <v>20144</v>
      </c>
      <c r="C33" s="76">
        <f>'PSPF Income Statement '!C33+'ADB Income Statement'!C33+'HAA Income Statement'!C33+'ATB Income Statement'!C34+'ACC Income Statement'!C33+'AFSC Income Statement'!C33+'ANT Income Statement'!C33+'WCA Income Statement'!C33+'AASPA Income Statement'!C33</f>
        <v>94671.61</v>
      </c>
      <c r="D33" s="76">
        <f t="shared" si="13"/>
        <v>-74527.61</v>
      </c>
      <c r="E33" s="175">
        <f t="shared" si="14"/>
        <v>-3.6997423550436856</v>
      </c>
      <c r="F33" s="205"/>
      <c r="G33" s="213">
        <f>'PSPF Income Statement '!G33+'ADB Income Statement'!G33+'HAA Income Statement'!G33+'ATB Income Statement'!G34+'ACC Income Statement'!G33+'AFSC Income Statement'!G33+'ANT Income Statement'!G33+'WCA Income Statement'!G33+'AASPA Income Statement'!G33</f>
        <v>69292.98000000001</v>
      </c>
      <c r="H33" s="130">
        <f>'PSPF Income Statement '!H33+'ADB Income Statement'!H33+'HAA Income Statement'!H33+'ATB Income Statement'!H34+'ACC Income Statement'!H33+'AFSC Income Statement'!H33+'ANT Income Statement'!H33+'WCA Income Statement'!H33+'AASPA Income Statement'!H33</f>
        <v>96327.15</v>
      </c>
      <c r="I33" s="130">
        <f t="shared" si="15"/>
        <v>-27034.169999999984</v>
      </c>
      <c r="J33" s="220">
        <f t="shared" si="16"/>
        <v>-0.39014298418108123</v>
      </c>
      <c r="K33" s="205"/>
      <c r="L33" s="181">
        <v>0</v>
      </c>
      <c r="M33" s="76">
        <v>0</v>
      </c>
      <c r="N33" s="76">
        <f t="shared" si="17"/>
        <v>0</v>
      </c>
      <c r="O33" s="175" t="str">
        <f t="shared" si="18"/>
        <v>-</v>
      </c>
      <c r="P33" s="205"/>
      <c r="Q33" s="213">
        <v>0</v>
      </c>
      <c r="R33" s="130">
        <v>0</v>
      </c>
      <c r="S33" s="130">
        <f t="shared" si="19"/>
        <v>0</v>
      </c>
      <c r="T33" s="220" t="str">
        <f t="shared" si="20"/>
        <v>-</v>
      </c>
      <c r="U33" s="205"/>
      <c r="V33" s="181">
        <f t="shared" si="21"/>
        <v>89436.98000000001</v>
      </c>
      <c r="W33" s="76">
        <f t="shared" si="21"/>
        <v>190998.76</v>
      </c>
      <c r="X33" s="76">
        <f t="shared" si="22"/>
        <v>-101561.78</v>
      </c>
      <c r="Y33" s="175">
        <f t="shared" si="23"/>
        <v>-1.1355680838060496</v>
      </c>
      <c r="Z33" s="205"/>
      <c r="AA33" s="181">
        <f>'PSPF Income Statement '!AA33+'ADB Income Statement'!AA33+'HAA Income Statement'!AA33+'ACC Income Statement'!AA33+'ATB Income Statement'!AA34+'AFSC Income Statement'!AA33+'ANT Income Statement'!AA33+'WCA Income Statement'!AA33+'AASPA Income Statement'!AA33</f>
        <v>130770.98000000001</v>
      </c>
      <c r="AB33" s="76">
        <f t="shared" si="24"/>
        <v>-60227.78</v>
      </c>
      <c r="AC33" s="175">
        <f t="shared" si="25"/>
        <v>-0.46055921581378373</v>
      </c>
      <c r="AD33" s="163"/>
      <c r="AE33" s="84"/>
    </row>
    <row r="34" spans="1:31" ht="15.75" x14ac:dyDescent="0.25">
      <c r="A34" s="145" t="s">
        <v>39</v>
      </c>
      <c r="B34" s="181">
        <f>'PSPF Income Statement '!B34+'ADB Income Statement'!B34+'HAA Income Statement'!B34+'ATB Income Statement'!B35+'ACC Income Statement'!B34+'AFSC Income Statement'!B34+'ANT Income Statement'!B34+'WCA Income Statement'!B34+'AASPA Income Statement'!B34</f>
        <v>463802.28</v>
      </c>
      <c r="C34" s="76">
        <f>'PSPF Income Statement '!C34+'ADB Income Statement'!C34+'HAA Income Statement'!C34+'ATB Income Statement'!C35+'ACC Income Statement'!C34+'AFSC Income Statement'!C34+'ANT Income Statement'!C34+'WCA Income Statement'!C34+'AASPA Income Statement'!C34</f>
        <v>223045.07</v>
      </c>
      <c r="D34" s="76">
        <f t="shared" si="13"/>
        <v>240757.21000000002</v>
      </c>
      <c r="E34" s="175">
        <f t="shared" si="14"/>
        <v>0.51909449431770793</v>
      </c>
      <c r="F34" s="205"/>
      <c r="G34" s="213">
        <f>'PSPF Income Statement '!G34+'ADB Income Statement'!G34+'HAA Income Statement'!G34+'ATB Income Statement'!G35+'ACC Income Statement'!G34+'AFSC Income Statement'!G34+'ANT Income Statement'!G34+'WCA Income Statement'!G34+'AASPA Income Statement'!G34</f>
        <v>316956.68</v>
      </c>
      <c r="H34" s="130">
        <f>'PSPF Income Statement '!H34+'ADB Income Statement'!H34+'HAA Income Statement'!H34+'ATB Income Statement'!H35+'ACC Income Statement'!H34+'AFSC Income Statement'!H34+'ANT Income Statement'!H34+'WCA Income Statement'!H34+'AASPA Income Statement'!H34</f>
        <v>313790.71999999997</v>
      </c>
      <c r="I34" s="130">
        <f t="shared" si="15"/>
        <v>3165.960000000021</v>
      </c>
      <c r="J34" s="220">
        <f t="shared" si="16"/>
        <v>9.9886205269440007E-3</v>
      </c>
      <c r="K34" s="205"/>
      <c r="L34" s="181">
        <v>0</v>
      </c>
      <c r="M34" s="76">
        <v>0</v>
      </c>
      <c r="N34" s="76">
        <f t="shared" si="17"/>
        <v>0</v>
      </c>
      <c r="O34" s="175" t="str">
        <f t="shared" si="18"/>
        <v>-</v>
      </c>
      <c r="P34" s="205"/>
      <c r="Q34" s="213">
        <v>0</v>
      </c>
      <c r="R34" s="130">
        <v>0</v>
      </c>
      <c r="S34" s="130">
        <f t="shared" si="19"/>
        <v>0</v>
      </c>
      <c r="T34" s="220" t="str">
        <f t="shared" si="20"/>
        <v>-</v>
      </c>
      <c r="U34" s="205"/>
      <c r="V34" s="181">
        <f t="shared" si="21"/>
        <v>780758.96</v>
      </c>
      <c r="W34" s="76">
        <f t="shared" si="21"/>
        <v>536835.79</v>
      </c>
      <c r="X34" s="76">
        <f t="shared" si="22"/>
        <v>243923.16999999993</v>
      </c>
      <c r="Y34" s="175">
        <f t="shared" si="23"/>
        <v>0.3124180220743159</v>
      </c>
      <c r="Z34" s="205"/>
      <c r="AA34" s="181">
        <f>'PSPF Income Statement '!AA34+'ADB Income Statement'!AA34+'HAA Income Statement'!AA34+'ACC Income Statement'!AA34+'ATB Income Statement'!AA35+'AFSC Income Statement'!AA34+'ANT Income Statement'!AA34+'WCA Income Statement'!AA34+'AASPA Income Statement'!AA34</f>
        <v>1216471.4000000001</v>
      </c>
      <c r="AB34" s="76">
        <f>AA34-W34</f>
        <v>679635.6100000001</v>
      </c>
      <c r="AC34" s="175">
        <f t="shared" si="25"/>
        <v>0.55869427756377998</v>
      </c>
      <c r="AD34" s="163"/>
      <c r="AE34" s="85"/>
    </row>
    <row r="35" spans="1:31" ht="15.75" x14ac:dyDescent="0.25">
      <c r="A35" s="145" t="s">
        <v>40</v>
      </c>
      <c r="B35" s="181">
        <f>'PSPF Income Statement '!B35+'ADB Income Statement'!B35+'HAA Income Statement'!B35+'ATB Income Statement'!B36+'ACC Income Statement'!B35+'AFSC Income Statement'!B35+'ANT Income Statement'!B35+'WCA Income Statement'!B35+'AASPA Income Statement'!B35</f>
        <v>366435.64</v>
      </c>
      <c r="C35" s="76">
        <f>'PSPF Income Statement '!C35+'ADB Income Statement'!C35+'HAA Income Statement'!C35+'ATB Income Statement'!C36+'ACC Income Statement'!C35+'AFSC Income Statement'!C35+'ANT Income Statement'!C35+'WCA Income Statement'!C35+'AASPA Income Statement'!C35</f>
        <v>349395.44999999995</v>
      </c>
      <c r="D35" s="76">
        <f t="shared" si="13"/>
        <v>17040.190000000061</v>
      </c>
      <c r="E35" s="175">
        <f t="shared" si="14"/>
        <v>4.6502545440176235E-2</v>
      </c>
      <c r="F35" s="207"/>
      <c r="G35" s="213">
        <f>'PSPF Income Statement '!G35+'ADB Income Statement'!G35+'HAA Income Statement'!G35+'ATB Income Statement'!G36+'ACC Income Statement'!G35+'AFSC Income Statement'!G35+'ANT Income Statement'!G35+'WCA Income Statement'!G35+'AASPA Income Statement'!G35</f>
        <v>367018.1</v>
      </c>
      <c r="H35" s="130">
        <f>'PSPF Income Statement '!H35+'ADB Income Statement'!H35+'HAA Income Statement'!H35+'ATB Income Statement'!H36+'ACC Income Statement'!H35+'AFSC Income Statement'!H35+'ANT Income Statement'!H35+'WCA Income Statement'!H35+'AASPA Income Statement'!H35</f>
        <v>346632.89999999997</v>
      </c>
      <c r="I35" s="130">
        <f t="shared" si="15"/>
        <v>20385.200000000012</v>
      </c>
      <c r="J35" s="220">
        <f t="shared" si="16"/>
        <v>5.5542764784625095E-2</v>
      </c>
      <c r="K35" s="207"/>
      <c r="L35" s="181">
        <v>0</v>
      </c>
      <c r="M35" s="76">
        <v>0</v>
      </c>
      <c r="N35" s="76">
        <f t="shared" si="17"/>
        <v>0</v>
      </c>
      <c r="O35" s="176" t="str">
        <f t="shared" si="18"/>
        <v>-</v>
      </c>
      <c r="P35" s="207"/>
      <c r="Q35" s="213">
        <v>0</v>
      </c>
      <c r="R35" s="130">
        <v>0</v>
      </c>
      <c r="S35" s="130">
        <f t="shared" si="19"/>
        <v>0</v>
      </c>
      <c r="T35" s="214" t="str">
        <f t="shared" si="20"/>
        <v>-</v>
      </c>
      <c r="U35" s="207"/>
      <c r="V35" s="181">
        <f t="shared" si="21"/>
        <v>733453.74</v>
      </c>
      <c r="W35" s="76">
        <f t="shared" si="21"/>
        <v>696028.34999999986</v>
      </c>
      <c r="X35" s="76">
        <f t="shared" si="22"/>
        <v>37425.39000000013</v>
      </c>
      <c r="Y35" s="175">
        <f t="shared" si="23"/>
        <v>5.102624468177111E-2</v>
      </c>
      <c r="Z35" s="207"/>
      <c r="AA35" s="181">
        <f>'PSPF Income Statement '!AA35+'ADB Income Statement'!AA35+'HAA Income Statement'!AA35+'ACC Income Statement'!AA35+'ATB Income Statement'!AA36+'AFSC Income Statement'!AA35+'ANT Income Statement'!AA35+'WCA Income Statement'!AA35+'AASPA Income Statement'!AA35</f>
        <v>1241025.94</v>
      </c>
      <c r="AB35" s="76">
        <f t="shared" si="24"/>
        <v>544997.59000000008</v>
      </c>
      <c r="AC35" s="175">
        <f t="shared" si="25"/>
        <v>0.43915084482440397</v>
      </c>
      <c r="AD35" s="165"/>
      <c r="AE35" s="77"/>
    </row>
    <row r="36" spans="1:31" ht="15.75" x14ac:dyDescent="0.25">
      <c r="A36" s="145" t="s">
        <v>41</v>
      </c>
      <c r="B36" s="181">
        <f>'PSPF Income Statement '!B36+'ADB Income Statement'!B36+'HAA Income Statement'!B36+'ATB Income Statement'!B37+'ACC Income Statement'!B36+'AFSC Income Statement'!B36+'ANT Income Statement'!B36+'WCA Income Statement'!B36+'AASPA Income Statement'!B36</f>
        <v>317588.41000000003</v>
      </c>
      <c r="C36" s="76">
        <f>'PSPF Income Statement '!C36+'ADB Income Statement'!C36+'HAA Income Statement'!C36+'ATB Income Statement'!C37+'ACC Income Statement'!C36+'AFSC Income Statement'!C36+'ANT Income Statement'!C36+'WCA Income Statement'!C36+'AASPA Income Statement'!C36</f>
        <v>310577.77</v>
      </c>
      <c r="D36" s="76">
        <f t="shared" si="13"/>
        <v>7010.640000000014</v>
      </c>
      <c r="E36" s="175">
        <f t="shared" si="14"/>
        <v>2.2074609082869283E-2</v>
      </c>
      <c r="F36" s="207"/>
      <c r="G36" s="213">
        <f>'PSPF Income Statement '!G36+'ADB Income Statement'!G36+'HAA Income Statement'!G36+'ATB Income Statement'!G37+'ACC Income Statement'!G36+'AFSC Income Statement'!G36+'ANT Income Statement'!G36+'WCA Income Statement'!G36+'AASPA Income Statement'!G36</f>
        <v>307110.45</v>
      </c>
      <c r="H36" s="130">
        <f>'PSPF Income Statement '!H36+'ADB Income Statement'!H36+'HAA Income Statement'!H36+'ATB Income Statement'!H37+'ACC Income Statement'!H36+'AFSC Income Statement'!H36+'ANT Income Statement'!H36+'WCA Income Statement'!H36+'AASPA Income Statement'!H36</f>
        <v>301038.74</v>
      </c>
      <c r="I36" s="130">
        <f t="shared" si="15"/>
        <v>6071.710000000021</v>
      </c>
      <c r="J36" s="220">
        <f t="shared" si="16"/>
        <v>1.9770444151281798E-2</v>
      </c>
      <c r="K36" s="207"/>
      <c r="L36" s="181">
        <v>0</v>
      </c>
      <c r="M36" s="76">
        <v>0</v>
      </c>
      <c r="N36" s="76">
        <f t="shared" si="17"/>
        <v>0</v>
      </c>
      <c r="O36" s="176" t="str">
        <f t="shared" si="18"/>
        <v>-</v>
      </c>
      <c r="P36" s="207"/>
      <c r="Q36" s="213">
        <v>0</v>
      </c>
      <c r="R36" s="130">
        <v>0</v>
      </c>
      <c r="S36" s="130">
        <f t="shared" si="19"/>
        <v>0</v>
      </c>
      <c r="T36" s="214" t="str">
        <f t="shared" si="20"/>
        <v>-</v>
      </c>
      <c r="U36" s="207"/>
      <c r="V36" s="181">
        <f t="shared" si="21"/>
        <v>624698.8600000001</v>
      </c>
      <c r="W36" s="76">
        <f t="shared" si="21"/>
        <v>611616.51</v>
      </c>
      <c r="X36" s="76">
        <f t="shared" si="22"/>
        <v>13082.350000000093</v>
      </c>
      <c r="Y36" s="175">
        <f t="shared" si="23"/>
        <v>2.0941850286072382E-2</v>
      </c>
      <c r="Z36" s="207"/>
      <c r="AA36" s="181">
        <f>'PSPF Income Statement '!AA36+'ADB Income Statement'!AA36+'HAA Income Statement'!AA36+'ACC Income Statement'!AA36+'ATB Income Statement'!AA37+'AFSC Income Statement'!AA36+'ANT Income Statement'!AA36+'WCA Income Statement'!AA36+'AASPA Income Statement'!AA36</f>
        <v>1214061.28</v>
      </c>
      <c r="AB36" s="76">
        <f t="shared" si="24"/>
        <v>602444.77</v>
      </c>
      <c r="AC36" s="175">
        <f t="shared" si="25"/>
        <v>0.49622270302533661</v>
      </c>
      <c r="AD36" s="165"/>
      <c r="AE36" s="77"/>
    </row>
    <row r="37" spans="1:31" ht="15.75" x14ac:dyDescent="0.25">
      <c r="A37" s="145" t="s">
        <v>42</v>
      </c>
      <c r="B37" s="181">
        <f>'PSPF Income Statement '!B37+'ADB Income Statement'!B37+'HAA Income Statement'!B37+'ATB Income Statement'!B38+'ACC Income Statement'!B37+'AFSC Income Statement'!B37+'ANT Income Statement'!B37+'WCA Income Statement'!B37+'AASPA Income Statement'!B37</f>
        <v>559497.93999999994</v>
      </c>
      <c r="C37" s="76">
        <f>'PSPF Income Statement '!C37+'ADB Income Statement'!C37+'HAA Income Statement'!C37+'ATB Income Statement'!C38+'ACC Income Statement'!C37+'AFSC Income Statement'!C37+'ANT Income Statement'!C37+'WCA Income Statement'!C37+'AASPA Income Statement'!C37</f>
        <v>497021</v>
      </c>
      <c r="D37" s="76">
        <f t="shared" si="13"/>
        <v>62476.939999999944</v>
      </c>
      <c r="E37" s="175">
        <f t="shared" si="14"/>
        <v>0.11166607691173974</v>
      </c>
      <c r="F37" s="205"/>
      <c r="G37" s="213">
        <f>'PSPF Income Statement '!G37+'ADB Income Statement'!G37+'HAA Income Statement'!G37+'ATB Income Statement'!G38+'ACC Income Statement'!G37+'AFSC Income Statement'!G37+'ANT Income Statement'!G37+'WCA Income Statement'!G37+'AASPA Income Statement'!G37</f>
        <v>553857.93999999994</v>
      </c>
      <c r="H37" s="130">
        <f>'PSPF Income Statement '!H37+'ADB Income Statement'!H37+'HAA Income Statement'!H37+'ATB Income Statement'!H38+'ACC Income Statement'!H37+'AFSC Income Statement'!H37+'ANT Income Statement'!H37+'WCA Income Statement'!H37+'AASPA Income Statement'!H37</f>
        <v>520840.4</v>
      </c>
      <c r="I37" s="130">
        <f t="shared" si="15"/>
        <v>33017.539999999921</v>
      </c>
      <c r="J37" s="220">
        <f t="shared" si="16"/>
        <v>5.961373416439588E-2</v>
      </c>
      <c r="K37" s="205"/>
      <c r="L37" s="181">
        <v>0</v>
      </c>
      <c r="M37" s="76">
        <v>0</v>
      </c>
      <c r="N37" s="76">
        <f t="shared" si="17"/>
        <v>0</v>
      </c>
      <c r="O37" s="175" t="str">
        <f t="shared" si="18"/>
        <v>-</v>
      </c>
      <c r="P37" s="205"/>
      <c r="Q37" s="213">
        <v>0</v>
      </c>
      <c r="R37" s="130">
        <v>0</v>
      </c>
      <c r="S37" s="130">
        <f t="shared" si="19"/>
        <v>0</v>
      </c>
      <c r="T37" s="220" t="str">
        <f t="shared" si="20"/>
        <v>-</v>
      </c>
      <c r="U37" s="205"/>
      <c r="V37" s="181">
        <f t="shared" si="21"/>
        <v>1113355.8799999999</v>
      </c>
      <c r="W37" s="76">
        <f t="shared" si="21"/>
        <v>1017861.4</v>
      </c>
      <c r="X37" s="76">
        <f t="shared" si="22"/>
        <v>95494.479999999865</v>
      </c>
      <c r="Y37" s="175">
        <f t="shared" si="23"/>
        <v>8.5771748023641708E-2</v>
      </c>
      <c r="Z37" s="205"/>
      <c r="AA37" s="181">
        <f>'PSPF Income Statement '!AA37+'ADB Income Statement'!AA37+'HAA Income Statement'!AA37+'ACC Income Statement'!AA37+'ATB Income Statement'!AA38+'AFSC Income Statement'!AA37+'ANT Income Statement'!AA37+'WCA Income Statement'!AA37+'AASPA Income Statement'!AA37</f>
        <v>1809949.32</v>
      </c>
      <c r="AB37" s="76">
        <f t="shared" si="24"/>
        <v>792087.92</v>
      </c>
      <c r="AC37" s="175">
        <f t="shared" si="25"/>
        <v>0.43762988899600791</v>
      </c>
      <c r="AD37" s="163"/>
      <c r="AE37" s="83"/>
    </row>
    <row r="38" spans="1:31" ht="15.75" x14ac:dyDescent="0.25">
      <c r="A38" s="145" t="s">
        <v>43</v>
      </c>
      <c r="B38" s="181">
        <f>'PSPF Income Statement '!B38+'ADB Income Statement'!B38+'HAA Income Statement'!B38+'ATB Income Statement'!B39+'ACC Income Statement'!B38+'AFSC Income Statement'!B38+'ANT Income Statement'!B38+'WCA Income Statement'!B38+'AASPA Income Statement'!B38</f>
        <v>4500</v>
      </c>
      <c r="C38" s="76">
        <f>'PSPF Income Statement '!C38+'ADB Income Statement'!C38+'HAA Income Statement'!C38+'ATB Income Statement'!C39+'ACC Income Statement'!C38+'AFSC Income Statement'!C38+'ANT Income Statement'!C38+'WCA Income Statement'!C38+'AASPA Income Statement'!C38</f>
        <v>0</v>
      </c>
      <c r="D38" s="76">
        <f t="shared" si="13"/>
        <v>4500</v>
      </c>
      <c r="E38" s="175">
        <f t="shared" si="14"/>
        <v>1</v>
      </c>
      <c r="F38" s="205"/>
      <c r="G38" s="213">
        <f>'PSPF Income Statement '!G38+'ADB Income Statement'!G38+'HAA Income Statement'!G38+'ATB Income Statement'!G39+'ACC Income Statement'!G38+'AFSC Income Statement'!G38+'ANT Income Statement'!G38+'WCA Income Statement'!G38+'AASPA Income Statement'!G38</f>
        <v>4500</v>
      </c>
      <c r="H38" s="130">
        <f>'PSPF Income Statement '!H38+'ADB Income Statement'!H38+'HAA Income Statement'!H38+'ATB Income Statement'!H39+'ACC Income Statement'!H38+'AFSC Income Statement'!H38+'ANT Income Statement'!H38+'WCA Income Statement'!H38+'AASPA Income Statement'!H38</f>
        <v>0</v>
      </c>
      <c r="I38" s="130">
        <f t="shared" si="15"/>
        <v>4500</v>
      </c>
      <c r="J38" s="220">
        <f t="shared" si="16"/>
        <v>1</v>
      </c>
      <c r="K38" s="205"/>
      <c r="L38" s="181">
        <v>0</v>
      </c>
      <c r="M38" s="76">
        <v>0</v>
      </c>
      <c r="N38" s="76">
        <f t="shared" si="17"/>
        <v>0</v>
      </c>
      <c r="O38" s="175" t="str">
        <f t="shared" si="18"/>
        <v>-</v>
      </c>
      <c r="P38" s="205"/>
      <c r="Q38" s="213">
        <v>0</v>
      </c>
      <c r="R38" s="130">
        <v>0</v>
      </c>
      <c r="S38" s="130">
        <f t="shared" si="19"/>
        <v>0</v>
      </c>
      <c r="T38" s="220" t="str">
        <f t="shared" si="20"/>
        <v>-</v>
      </c>
      <c r="U38" s="205"/>
      <c r="V38" s="181">
        <f t="shared" si="21"/>
        <v>9000</v>
      </c>
      <c r="W38" s="76">
        <f t="shared" si="21"/>
        <v>0</v>
      </c>
      <c r="X38" s="76">
        <f t="shared" si="22"/>
        <v>9000</v>
      </c>
      <c r="Y38" s="175">
        <f t="shared" si="23"/>
        <v>1</v>
      </c>
      <c r="Z38" s="205"/>
      <c r="AA38" s="181">
        <f>'PSPF Income Statement '!AA38+'ADB Income Statement'!AA38+'HAA Income Statement'!AA38+'ACC Income Statement'!AA38+'ATB Income Statement'!AA39+'AFSC Income Statement'!AA38+'ANT Income Statement'!AA38+'WCA Income Statement'!AA38+'AASPA Income Statement'!AA38</f>
        <v>18000</v>
      </c>
      <c r="AB38" s="76">
        <f>AA38-W38</f>
        <v>18000</v>
      </c>
      <c r="AC38" s="175">
        <f t="shared" si="25"/>
        <v>1</v>
      </c>
      <c r="AD38" s="163"/>
      <c r="AE38" s="84"/>
    </row>
    <row r="39" spans="1:31" ht="15.75" x14ac:dyDescent="0.25">
      <c r="A39" s="152" t="s">
        <v>44</v>
      </c>
      <c r="B39" s="187">
        <f>'PSPF Income Statement '!B39+'ADB Income Statement'!B39+'HAA Income Statement'!B39+'ATB Income Statement'!B40+'ACC Income Statement'!B39+'AFSC Income Statement'!B39+'ANT Income Statement'!B39+'WCA Income Statement'!B39+'AASPA Income Statement'!B39</f>
        <v>36969</v>
      </c>
      <c r="C39" s="79">
        <f>'PSPF Income Statement '!C39+'ADB Income Statement'!C39+'HAA Income Statement'!C39+'ATB Income Statement'!C40+'ACC Income Statement'!C39+'AFSC Income Statement'!C39+'ANT Income Statement'!C39+'WCA Income Statement'!C39+'AASPA Income Statement'!C39</f>
        <v>38632.42</v>
      </c>
      <c r="D39" s="79">
        <f t="shared" si="13"/>
        <v>-1663.4199999999983</v>
      </c>
      <c r="E39" s="175">
        <f t="shared" si="14"/>
        <v>-4.4994995807297961E-2</v>
      </c>
      <c r="F39" s="204"/>
      <c r="G39" s="221">
        <f>'PSPF Income Statement '!G39+'ADB Income Statement'!G39+'HAA Income Statement'!G39+'ATB Income Statement'!G40+'ACC Income Statement'!G39+'AFSC Income Statement'!G39+'ANT Income Statement'!G39+'WCA Income Statement'!G39+'AASPA Income Statement'!G39</f>
        <v>44062</v>
      </c>
      <c r="H39" s="133">
        <f>'PSPF Income Statement '!H39+'ADB Income Statement'!H39+'HAA Income Statement'!H39+'ATB Income Statement'!H40+'ACC Income Statement'!H39+'AFSC Income Statement'!H39+'ANT Income Statement'!H39+'WCA Income Statement'!H39+'AASPA Income Statement'!H39</f>
        <v>40203.51</v>
      </c>
      <c r="I39" s="133">
        <f t="shared" si="15"/>
        <v>3858.489999999998</v>
      </c>
      <c r="J39" s="220">
        <f t="shared" si="16"/>
        <v>8.7569561073033403E-2</v>
      </c>
      <c r="K39" s="204"/>
      <c r="L39" s="187">
        <v>0</v>
      </c>
      <c r="M39" s="79">
        <v>0</v>
      </c>
      <c r="N39" s="79">
        <f t="shared" si="17"/>
        <v>0</v>
      </c>
      <c r="O39" s="188" t="str">
        <f t="shared" si="18"/>
        <v>-</v>
      </c>
      <c r="P39" s="204"/>
      <c r="Q39" s="221">
        <v>0</v>
      </c>
      <c r="R39" s="133">
        <v>0</v>
      </c>
      <c r="S39" s="133">
        <f t="shared" si="19"/>
        <v>0</v>
      </c>
      <c r="T39" s="222" t="str">
        <f t="shared" si="20"/>
        <v>-</v>
      </c>
      <c r="U39" s="204"/>
      <c r="V39" s="187">
        <f t="shared" si="21"/>
        <v>81031</v>
      </c>
      <c r="W39" s="79">
        <f t="shared" si="21"/>
        <v>78835.929999999993</v>
      </c>
      <c r="X39" s="79">
        <f t="shared" si="22"/>
        <v>2195.070000000007</v>
      </c>
      <c r="Y39" s="175">
        <f t="shared" si="23"/>
        <v>2.7089262134245003E-2</v>
      </c>
      <c r="Z39" s="204"/>
      <c r="AA39" s="181">
        <f>'PSPF Income Statement '!AA39+'ADB Income Statement'!AA39+'HAA Income Statement'!AA39+'ACC Income Statement'!AA39+'ATB Income Statement'!AA40+'AFSC Income Statement'!AA39+'ANT Income Statement'!AA39+'WCA Income Statement'!AA39+'AASPA Income Statement'!AA39</f>
        <v>170157</v>
      </c>
      <c r="AB39" s="79">
        <f t="shared" si="24"/>
        <v>91321.07</v>
      </c>
      <c r="AC39" s="175">
        <f t="shared" si="25"/>
        <v>0.5366871183671551</v>
      </c>
      <c r="AD39" s="162"/>
      <c r="AE39" s="84"/>
    </row>
    <row r="40" spans="1:31" ht="15.75" x14ac:dyDescent="0.25">
      <c r="A40" s="146" t="s">
        <v>45</v>
      </c>
      <c r="B40" s="177">
        <f>SUM(B32:B39)</f>
        <v>10840056.619999999</v>
      </c>
      <c r="C40" s="110">
        <f>SUM(C32:C39)</f>
        <v>10273197.399999999</v>
      </c>
      <c r="D40" s="110">
        <f>SUM(D32:D39)</f>
        <v>566859.21999999962</v>
      </c>
      <c r="E40" s="178">
        <f t="shared" si="14"/>
        <v>5.2293012838525159E-2</v>
      </c>
      <c r="F40" s="205"/>
      <c r="G40" s="177">
        <f>SUM(G32:G39)</f>
        <v>10738015.199999997</v>
      </c>
      <c r="H40" s="110">
        <f>SUM(H32:H39)</f>
        <v>10310419.530000001</v>
      </c>
      <c r="I40" s="110">
        <f>SUM(I32:I39)</f>
        <v>427595.66999999946</v>
      </c>
      <c r="J40" s="178">
        <f t="shared" si="16"/>
        <v>3.982073614498139E-2</v>
      </c>
      <c r="K40" s="205"/>
      <c r="L40" s="177">
        <f>SUM(L32:L39)</f>
        <v>0</v>
      </c>
      <c r="M40" s="110">
        <f>SUM(M32:M39)</f>
        <v>0</v>
      </c>
      <c r="N40" s="110">
        <f>SUM(N32:N39)</f>
        <v>0</v>
      </c>
      <c r="O40" s="178" t="str">
        <f t="shared" si="18"/>
        <v>-</v>
      </c>
      <c r="P40" s="205"/>
      <c r="Q40" s="177">
        <f>SUM(Q32:Q39)</f>
        <v>0</v>
      </c>
      <c r="R40" s="110">
        <f>SUM(R32:R39)</f>
        <v>0</v>
      </c>
      <c r="S40" s="110">
        <f>SUM(S32:S39)</f>
        <v>0</v>
      </c>
      <c r="T40" s="178" t="str">
        <f t="shared" si="20"/>
        <v>-</v>
      </c>
      <c r="U40" s="205"/>
      <c r="V40" s="177">
        <f>SUM(V32:V39)</f>
        <v>21578071.819999997</v>
      </c>
      <c r="W40" s="110">
        <f>SUM(W32:W39)</f>
        <v>20583616.93</v>
      </c>
      <c r="X40" s="110">
        <f>SUM(X32:X39)</f>
        <v>994454.89000000083</v>
      </c>
      <c r="Y40" s="178">
        <f t="shared" si="23"/>
        <v>4.6086364819597721E-2</v>
      </c>
      <c r="Z40" s="205"/>
      <c r="AA40" s="242">
        <f>SUM(AA32:AA39)</f>
        <v>37371345.219999999</v>
      </c>
      <c r="AB40" s="109">
        <f>SUM(AB32:AB39)</f>
        <v>16787728.289999999</v>
      </c>
      <c r="AC40" s="243">
        <f t="shared" si="25"/>
        <v>0.44921391486372614</v>
      </c>
      <c r="AD40" s="163"/>
      <c r="AE40" s="86"/>
    </row>
    <row r="41" spans="1:31" x14ac:dyDescent="0.25">
      <c r="A41" s="150"/>
      <c r="B41" s="179"/>
      <c r="C41" s="81"/>
      <c r="D41" s="81"/>
      <c r="E41" s="180"/>
      <c r="F41" s="204"/>
      <c r="G41" s="211"/>
      <c r="H41" s="129"/>
      <c r="I41" s="129"/>
      <c r="J41" s="223"/>
      <c r="K41" s="204"/>
      <c r="L41" s="179"/>
      <c r="M41" s="81"/>
      <c r="N41" s="81"/>
      <c r="O41" s="180"/>
      <c r="P41" s="204"/>
      <c r="Q41" s="211"/>
      <c r="R41" s="129"/>
      <c r="S41" s="129"/>
      <c r="T41" s="223"/>
      <c r="U41" s="204"/>
      <c r="V41" s="179"/>
      <c r="W41" s="81"/>
      <c r="X41" s="81"/>
      <c r="Y41" s="239"/>
      <c r="Z41" s="204"/>
      <c r="AA41" s="179"/>
      <c r="AB41" s="81"/>
      <c r="AC41" s="239"/>
      <c r="AD41" s="162"/>
      <c r="AE41" s="77"/>
    </row>
    <row r="42" spans="1:31" ht="15.75" x14ac:dyDescent="0.25">
      <c r="A42" s="148" t="s">
        <v>46</v>
      </c>
      <c r="B42" s="189"/>
      <c r="C42" s="87"/>
      <c r="D42" s="87"/>
      <c r="E42" s="190"/>
      <c r="F42" s="203"/>
      <c r="G42" s="224"/>
      <c r="H42" s="134"/>
      <c r="I42" s="134"/>
      <c r="J42" s="225"/>
      <c r="K42" s="203"/>
      <c r="L42" s="189"/>
      <c r="M42" s="87"/>
      <c r="N42" s="87"/>
      <c r="O42" s="190"/>
      <c r="P42" s="203"/>
      <c r="Q42" s="224"/>
      <c r="R42" s="134"/>
      <c r="S42" s="134"/>
      <c r="T42" s="225"/>
      <c r="U42" s="203"/>
      <c r="V42" s="189"/>
      <c r="W42" s="87"/>
      <c r="X42" s="76"/>
      <c r="Y42" s="240"/>
      <c r="Z42" s="203"/>
      <c r="AA42" s="189">
        <f>'PSPF Income Statement '!AA42+'ADB Income Statement'!AA42+'HAA Income Statement'!AA42+'ACC Income Statement'!AA42+'ATB Income Statement'!AA43+'AFSC Income Statement'!AA42+'ANT Income Statement'!AA42+'WCA Income Statement'!AA42</f>
        <v>0</v>
      </c>
      <c r="AB42" s="76"/>
      <c r="AC42" s="240"/>
      <c r="AD42" s="161"/>
      <c r="AE42" s="77"/>
    </row>
    <row r="43" spans="1:31" ht="15.75" x14ac:dyDescent="0.25">
      <c r="A43" s="145" t="s">
        <v>47</v>
      </c>
      <c r="B43" s="181">
        <f>'PSPF Income Statement '!B43+'ADB Income Statement'!B43+'HAA Income Statement'!B43+'ATB Income Statement'!B44+'ACC Income Statement'!B43+'AFSC Income Statement'!B43+'ANT Income Statement'!B43+'WCA Income Statement'!B43+'AASPA Income Statement'!B43</f>
        <v>1550643.01</v>
      </c>
      <c r="C43" s="76">
        <f>'PSPF Income Statement '!C43+'ADB Income Statement'!C43+'HAA Income Statement'!C43+'ATB Income Statement'!C44+'ACC Income Statement'!C43+'AFSC Income Statement'!C43+'ANT Income Statement'!C43+'WCA Income Statement'!C43+'AASPA Income Statement'!C43</f>
        <v>1579570.7500000002</v>
      </c>
      <c r="D43" s="76">
        <f t="shared" ref="D43:D49" si="26">B43-C43</f>
        <v>-28927.740000000224</v>
      </c>
      <c r="E43" s="175">
        <f t="shared" ref="E43:E74" si="27">IF(ISERROR(D43/B43),"-",D43/B43)</f>
        <v>-1.865531899569858E-2</v>
      </c>
      <c r="F43" s="205"/>
      <c r="G43" s="213">
        <f>'PSPF Income Statement '!G43+'ADB Income Statement'!G43+'HAA Income Statement'!G43+'ATB Income Statement'!G44+'ACC Income Statement'!G43+'AFSC Income Statement'!G43+'ANT Income Statement'!G43+'WCA Income Statement'!G43+'AASPA Income Statement'!G43</f>
        <v>880728.01</v>
      </c>
      <c r="H43" s="130">
        <f>'PSPF Income Statement '!H43+'ADB Income Statement'!H43+'HAA Income Statement'!H43+'ATB Income Statement'!H44+'ACC Income Statement'!H43+'AFSC Income Statement'!H43+'ANT Income Statement'!H43+'WCA Income Statement'!H43+'AASPA Income Statement'!H43</f>
        <v>881217.39999999979</v>
      </c>
      <c r="I43" s="130">
        <f t="shared" ref="I43:I49" si="28">G43-H43</f>
        <v>-489.38999999978114</v>
      </c>
      <c r="J43" s="220">
        <f t="shared" ref="J43:J74" si="29">IF(ISERROR(I43/G43),"-",I43/G43)</f>
        <v>-5.5566530693145681E-4</v>
      </c>
      <c r="K43" s="205"/>
      <c r="L43" s="181">
        <v>0</v>
      </c>
      <c r="M43" s="76">
        <v>0</v>
      </c>
      <c r="N43" s="76">
        <f t="shared" ref="N43:N49" si="30">L43-M43</f>
        <v>0</v>
      </c>
      <c r="O43" s="175" t="str">
        <f t="shared" ref="O43:O49" si="31">IF(ISERROR(N43/L43),"-",N43/L43)</f>
        <v>-</v>
      </c>
      <c r="P43" s="205"/>
      <c r="Q43" s="213">
        <v>0</v>
      </c>
      <c r="R43" s="130">
        <v>0</v>
      </c>
      <c r="S43" s="130">
        <f t="shared" ref="S43:S49" si="32">Q43-R43</f>
        <v>0</v>
      </c>
      <c r="T43" s="220" t="str">
        <f t="shared" ref="T43:T49" si="33">IF(ISERROR(S43/Q43),"-",S43/Q43)</f>
        <v>-</v>
      </c>
      <c r="U43" s="205"/>
      <c r="V43" s="181">
        <f t="shared" ref="V43:W49" si="34">B43+G43+L43+Q43</f>
        <v>2431371.02</v>
      </c>
      <c r="W43" s="76">
        <f t="shared" si="34"/>
        <v>2460788.15</v>
      </c>
      <c r="X43" s="76">
        <f t="shared" ref="X43:X49" si="35">V43-W43</f>
        <v>-29417.129999999888</v>
      </c>
      <c r="Y43" s="175">
        <f t="shared" ref="Y43:Y74" si="36">IF(ISERROR(X43/V43),"-",X43/V43)</f>
        <v>-1.2098988495799332E-2</v>
      </c>
      <c r="Z43" s="205"/>
      <c r="AA43" s="181">
        <f>'PSPF Income Statement '!AA43+'ADB Income Statement'!AA43+'HAA Income Statement'!AA43+'ACC Income Statement'!AA43+'ATB Income Statement'!AA44+'AFSC Income Statement'!AA43+'ANT Income Statement'!AA43+'WCA Income Statement'!AA43+'AASPA Income Statement'!AA43</f>
        <v>4463863.04</v>
      </c>
      <c r="AB43" s="76">
        <f t="shared" ref="AB43:AB49" si="37">AA43-W43</f>
        <v>2003074.8900000001</v>
      </c>
      <c r="AC43" s="175">
        <f t="shared" ref="AC43:AC74" si="38">IF(ISERROR(AB43/AA43),"-",AB43/AA43)</f>
        <v>0.44873126080499104</v>
      </c>
      <c r="AD43" s="163"/>
      <c r="AE43" s="88"/>
    </row>
    <row r="44" spans="1:31" ht="15.75" x14ac:dyDescent="0.25">
      <c r="A44" s="145" t="s">
        <v>48</v>
      </c>
      <c r="B44" s="181">
        <f>'PSPF Income Statement '!B44+'ADB Income Statement'!B44+'HAA Income Statement'!B44+'ATB Income Statement'!B45+'ACC Income Statement'!B44+'AFSC Income Statement'!B44+'ANT Income Statement'!B44+'WCA Income Statement'!B44+'AASPA Income Statement'!B44</f>
        <v>56500</v>
      </c>
      <c r="C44" s="76">
        <f>'PSPF Income Statement '!C44+'ADB Income Statement'!C44+'HAA Income Statement'!C44+'ATB Income Statement'!C45+'ACC Income Statement'!C44+'AFSC Income Statement'!C44+'ANT Income Statement'!C44+'WCA Income Statement'!C44+'AASPA Income Statement'!C44</f>
        <v>0</v>
      </c>
      <c r="D44" s="76">
        <f t="shared" si="26"/>
        <v>56500</v>
      </c>
      <c r="E44" s="175">
        <f t="shared" si="27"/>
        <v>1</v>
      </c>
      <c r="F44" s="207"/>
      <c r="G44" s="213">
        <f>'PSPF Income Statement '!G44+'ADB Income Statement'!G44+'HAA Income Statement'!G44+'ATB Income Statement'!G45+'ACC Income Statement'!G44+'AFSC Income Statement'!G44+'ANT Income Statement'!G44+'WCA Income Statement'!G44+'AASPA Income Statement'!G44</f>
        <v>146515</v>
      </c>
      <c r="H44" s="130">
        <f>'PSPF Income Statement '!H44+'ADB Income Statement'!H44+'HAA Income Statement'!H44+'ATB Income Statement'!H45+'ACC Income Statement'!H44+'AFSC Income Statement'!H44+'ANT Income Statement'!H44+'WCA Income Statement'!H44+'AASPA Income Statement'!H44</f>
        <v>11089</v>
      </c>
      <c r="I44" s="130">
        <f t="shared" si="28"/>
        <v>135426</v>
      </c>
      <c r="J44" s="220">
        <f t="shared" si="29"/>
        <v>0.92431491656144427</v>
      </c>
      <c r="K44" s="207"/>
      <c r="L44" s="181">
        <v>0</v>
      </c>
      <c r="M44" s="76">
        <v>0</v>
      </c>
      <c r="N44" s="76">
        <f t="shared" si="30"/>
        <v>0</v>
      </c>
      <c r="O44" s="175" t="str">
        <f t="shared" si="31"/>
        <v>-</v>
      </c>
      <c r="P44" s="207"/>
      <c r="Q44" s="213">
        <v>0</v>
      </c>
      <c r="R44" s="130">
        <v>0</v>
      </c>
      <c r="S44" s="130">
        <f t="shared" si="32"/>
        <v>0</v>
      </c>
      <c r="T44" s="220" t="str">
        <f t="shared" si="33"/>
        <v>-</v>
      </c>
      <c r="U44" s="207"/>
      <c r="V44" s="181">
        <f t="shared" si="34"/>
        <v>203015</v>
      </c>
      <c r="W44" s="76">
        <f t="shared" si="34"/>
        <v>11089</v>
      </c>
      <c r="X44" s="76">
        <f t="shared" si="35"/>
        <v>191926</v>
      </c>
      <c r="Y44" s="175">
        <f t="shared" si="36"/>
        <v>0.94537842031376995</v>
      </c>
      <c r="Z44" s="207"/>
      <c r="AA44" s="181">
        <f>'PSPF Income Statement '!AA44+'ADB Income Statement'!AA44+'HAA Income Statement'!AA44+'ACC Income Statement'!AA44+'ATB Income Statement'!AA45+'AFSC Income Statement'!AA44+'ANT Income Statement'!AA44+'WCA Income Statement'!AA44+'AASPA Income Statement'!AA44</f>
        <v>451404</v>
      </c>
      <c r="AB44" s="76">
        <f t="shared" si="37"/>
        <v>440315</v>
      </c>
      <c r="AC44" s="175">
        <f t="shared" si="38"/>
        <v>0.97543442237995237</v>
      </c>
      <c r="AD44" s="165"/>
      <c r="AE44" s="77"/>
    </row>
    <row r="45" spans="1:31" ht="15.75" x14ac:dyDescent="0.25">
      <c r="A45" s="145" t="s">
        <v>49</v>
      </c>
      <c r="B45" s="181">
        <f>'PSPF Income Statement '!B45+'ADB Income Statement'!B45+'HAA Income Statement'!B45+'ATB Income Statement'!B46+'ACC Income Statement'!B45+'AFSC Income Statement'!B45+'ANT Income Statement'!B45+'WCA Income Statement'!B45+'AASPA Income Statement'!B45</f>
        <v>0</v>
      </c>
      <c r="C45" s="76">
        <f>'PSPF Income Statement '!C45+'ADB Income Statement'!C45+'HAA Income Statement'!C45+'ATB Income Statement'!C46+'ACC Income Statement'!C45+'AFSC Income Statement'!C45+'ANT Income Statement'!C45+'WCA Income Statement'!C45+'AASPA Income Statement'!C45</f>
        <v>0</v>
      </c>
      <c r="D45" s="76">
        <f t="shared" si="26"/>
        <v>0</v>
      </c>
      <c r="E45" s="175" t="str">
        <f t="shared" si="27"/>
        <v>-</v>
      </c>
      <c r="F45" s="207"/>
      <c r="G45" s="213">
        <f>'PSPF Income Statement '!G45+'ADB Income Statement'!G45+'HAA Income Statement'!G45+'ATB Income Statement'!G46+'ACC Income Statement'!G45+'AFSC Income Statement'!G45+'ANT Income Statement'!G45+'WCA Income Statement'!G45+'AASPA Income Statement'!G45</f>
        <v>0</v>
      </c>
      <c r="H45" s="130">
        <f>'PSPF Income Statement '!H45+'ADB Income Statement'!H45+'HAA Income Statement'!H45+'ATB Income Statement'!H46+'ACC Income Statement'!H45+'AFSC Income Statement'!H45+'ANT Income Statement'!H45+'WCA Income Statement'!H45+'AASPA Income Statement'!H45</f>
        <v>0</v>
      </c>
      <c r="I45" s="130">
        <f t="shared" si="28"/>
        <v>0</v>
      </c>
      <c r="J45" s="220" t="str">
        <f t="shared" si="29"/>
        <v>-</v>
      </c>
      <c r="K45" s="207"/>
      <c r="L45" s="181">
        <v>0</v>
      </c>
      <c r="M45" s="76">
        <v>0</v>
      </c>
      <c r="N45" s="76">
        <f t="shared" si="30"/>
        <v>0</v>
      </c>
      <c r="O45" s="176" t="str">
        <f t="shared" si="31"/>
        <v>-</v>
      </c>
      <c r="P45" s="207"/>
      <c r="Q45" s="213">
        <v>0</v>
      </c>
      <c r="R45" s="130">
        <v>0</v>
      </c>
      <c r="S45" s="130">
        <f t="shared" si="32"/>
        <v>0</v>
      </c>
      <c r="T45" s="214" t="str">
        <f t="shared" si="33"/>
        <v>-</v>
      </c>
      <c r="U45" s="207"/>
      <c r="V45" s="181">
        <f t="shared" si="34"/>
        <v>0</v>
      </c>
      <c r="W45" s="76">
        <f t="shared" si="34"/>
        <v>0</v>
      </c>
      <c r="X45" s="76">
        <f t="shared" si="35"/>
        <v>0</v>
      </c>
      <c r="Y45" s="175" t="str">
        <f t="shared" si="36"/>
        <v>-</v>
      </c>
      <c r="Z45" s="207"/>
      <c r="AA45" s="181">
        <f>'PSPF Income Statement '!AA45+'ADB Income Statement'!AA45+'HAA Income Statement'!AA45+'ACC Income Statement'!AA45+'ATB Income Statement'!AA46+'AFSC Income Statement'!AA45+'ANT Income Statement'!AA45+'WCA Income Statement'!AA45+'AASPA Income Statement'!AA45</f>
        <v>0</v>
      </c>
      <c r="AB45" s="76">
        <f t="shared" si="37"/>
        <v>0</v>
      </c>
      <c r="AC45" s="175" t="str">
        <f t="shared" si="38"/>
        <v>-</v>
      </c>
      <c r="AD45" s="165"/>
      <c r="AE45" s="77"/>
    </row>
    <row r="46" spans="1:31" ht="15.75" x14ac:dyDescent="0.25">
      <c r="A46" s="145" t="s">
        <v>50</v>
      </c>
      <c r="B46" s="181">
        <f>'PSPF Income Statement '!B46+'ADB Income Statement'!B46+'HAA Income Statement'!B46+'ATB Income Statement'!B47+'ACC Income Statement'!B46+'AFSC Income Statement'!B46+'ANT Income Statement'!B46+'WCA Income Statement'!B46+'AASPA Income Statement'!B46</f>
        <v>24832</v>
      </c>
      <c r="C46" s="76">
        <f>'PSPF Income Statement '!C46+'ADB Income Statement'!C46+'HAA Income Statement'!C46+'ATB Income Statement'!C47+'ACC Income Statement'!C46+'AFSC Income Statement'!C46+'ANT Income Statement'!C46+'WCA Income Statement'!C46+'AASPA Income Statement'!C46</f>
        <v>22464.93</v>
      </c>
      <c r="D46" s="76">
        <f t="shared" si="26"/>
        <v>2367.0699999999997</v>
      </c>
      <c r="E46" s="175">
        <f t="shared" si="27"/>
        <v>9.5323373067010303E-2</v>
      </c>
      <c r="F46" s="207"/>
      <c r="G46" s="213">
        <f>'PSPF Income Statement '!G46+'ADB Income Statement'!G46+'HAA Income Statement'!G46+'ATB Income Statement'!G47+'ACC Income Statement'!G46+'AFSC Income Statement'!G46+'ANT Income Statement'!G46+'WCA Income Statement'!G46+'AASPA Income Statement'!G46</f>
        <v>22527</v>
      </c>
      <c r="H46" s="130">
        <f>'PSPF Income Statement '!H46+'ADB Income Statement'!H46+'HAA Income Statement'!H46+'ATB Income Statement'!H47+'ACC Income Statement'!H46+'AFSC Income Statement'!H46+'ANT Income Statement'!H46+'WCA Income Statement'!H46+'AASPA Income Statement'!H46</f>
        <v>18589.780000000002</v>
      </c>
      <c r="I46" s="130">
        <f t="shared" si="28"/>
        <v>3937.2199999999975</v>
      </c>
      <c r="J46" s="220">
        <f t="shared" si="29"/>
        <v>0.17477782216895271</v>
      </c>
      <c r="K46" s="207"/>
      <c r="L46" s="181">
        <v>0</v>
      </c>
      <c r="M46" s="76">
        <v>0</v>
      </c>
      <c r="N46" s="76">
        <f t="shared" si="30"/>
        <v>0</v>
      </c>
      <c r="O46" s="175" t="str">
        <f t="shared" si="31"/>
        <v>-</v>
      </c>
      <c r="P46" s="207"/>
      <c r="Q46" s="213">
        <v>0</v>
      </c>
      <c r="R46" s="130">
        <v>0</v>
      </c>
      <c r="S46" s="130">
        <f t="shared" si="32"/>
        <v>0</v>
      </c>
      <c r="T46" s="220" t="str">
        <f t="shared" si="33"/>
        <v>-</v>
      </c>
      <c r="U46" s="207"/>
      <c r="V46" s="181">
        <f t="shared" si="34"/>
        <v>47359</v>
      </c>
      <c r="W46" s="76">
        <f t="shared" si="34"/>
        <v>41054.710000000006</v>
      </c>
      <c r="X46" s="76">
        <f t="shared" si="35"/>
        <v>6304.2899999999936</v>
      </c>
      <c r="Y46" s="175">
        <f t="shared" si="36"/>
        <v>0.13311704216727535</v>
      </c>
      <c r="Z46" s="207"/>
      <c r="AA46" s="181">
        <f>'PSPF Income Statement '!AA46+'ADB Income Statement'!AA46+'HAA Income Statement'!AA46+'ACC Income Statement'!AA46+'ATB Income Statement'!AA47+'AFSC Income Statement'!AA46+'ANT Income Statement'!AA46+'WCA Income Statement'!AA46+'AASPA Income Statement'!AA46</f>
        <v>93642.3</v>
      </c>
      <c r="AB46" s="76">
        <f t="shared" si="37"/>
        <v>52587.59</v>
      </c>
      <c r="AC46" s="175">
        <f t="shared" si="38"/>
        <v>0.56157943578916791</v>
      </c>
      <c r="AD46" s="165"/>
      <c r="AE46" s="88"/>
    </row>
    <row r="47" spans="1:31" ht="15.75" x14ac:dyDescent="0.25">
      <c r="A47" s="145" t="s">
        <v>51</v>
      </c>
      <c r="B47" s="181">
        <f>'PSPF Income Statement '!B47+'ADB Income Statement'!B47+'HAA Income Statement'!B47+'ATB Income Statement'!B48+'ACC Income Statement'!B47+'AFSC Income Statement'!B47+'ANT Income Statement'!B47+'WCA Income Statement'!B47+'AASPA Income Statement'!B47</f>
        <v>109482</v>
      </c>
      <c r="C47" s="76">
        <f>'PSPF Income Statement '!C47+'ADB Income Statement'!C47+'HAA Income Statement'!C47+'ATB Income Statement'!C48+'ACC Income Statement'!C47+'AFSC Income Statement'!C47+'ANT Income Statement'!C47+'WCA Income Statement'!C47+'AASPA Income Statement'!C47</f>
        <v>81525</v>
      </c>
      <c r="D47" s="76">
        <f t="shared" si="26"/>
        <v>27957</v>
      </c>
      <c r="E47" s="175">
        <f t="shared" si="27"/>
        <v>0.2553570449936976</v>
      </c>
      <c r="F47" s="207"/>
      <c r="G47" s="213">
        <f>'PSPF Income Statement '!G47+'ADB Income Statement'!G47+'HAA Income Statement'!G47+'ATB Income Statement'!G48+'ACC Income Statement'!G47+'AFSC Income Statement'!G47+'ANT Income Statement'!G47+'WCA Income Statement'!G47+'AASPA Income Statement'!G47</f>
        <v>109482</v>
      </c>
      <c r="H47" s="130">
        <f>'PSPF Income Statement '!H47+'ADB Income Statement'!H47+'HAA Income Statement'!H47+'ATB Income Statement'!H48+'ACC Income Statement'!H47+'AFSC Income Statement'!H47+'ANT Income Statement'!H47+'WCA Income Statement'!H47+'AASPA Income Statement'!H47</f>
        <v>47385</v>
      </c>
      <c r="I47" s="130">
        <f t="shared" si="28"/>
        <v>62097</v>
      </c>
      <c r="J47" s="220">
        <f t="shared" si="29"/>
        <v>0.56718912697977752</v>
      </c>
      <c r="K47" s="207"/>
      <c r="L47" s="181">
        <v>0</v>
      </c>
      <c r="M47" s="76">
        <v>0</v>
      </c>
      <c r="N47" s="76">
        <f t="shared" si="30"/>
        <v>0</v>
      </c>
      <c r="O47" s="176" t="str">
        <f t="shared" si="31"/>
        <v>-</v>
      </c>
      <c r="P47" s="207"/>
      <c r="Q47" s="213">
        <v>0</v>
      </c>
      <c r="R47" s="130">
        <v>0</v>
      </c>
      <c r="S47" s="130">
        <f t="shared" si="32"/>
        <v>0</v>
      </c>
      <c r="T47" s="214" t="str">
        <f t="shared" si="33"/>
        <v>-</v>
      </c>
      <c r="U47" s="207"/>
      <c r="V47" s="181">
        <f t="shared" si="34"/>
        <v>218964</v>
      </c>
      <c r="W47" s="76">
        <f t="shared" si="34"/>
        <v>128910</v>
      </c>
      <c r="X47" s="76">
        <f t="shared" si="35"/>
        <v>90054</v>
      </c>
      <c r="Y47" s="175">
        <f t="shared" si="36"/>
        <v>0.41127308598673756</v>
      </c>
      <c r="Z47" s="207"/>
      <c r="AA47" s="181">
        <f>'PSPF Income Statement '!AA47+'ADB Income Statement'!AA47+'HAA Income Statement'!AA47+'ACC Income Statement'!AA47+'ATB Income Statement'!AA48+'AFSC Income Statement'!AA47+'ANT Income Statement'!AA47+'WCA Income Statement'!AA47+'AASPA Income Statement'!AA47</f>
        <v>437929.68</v>
      </c>
      <c r="AB47" s="76">
        <f t="shared" si="37"/>
        <v>309019.68</v>
      </c>
      <c r="AC47" s="175">
        <f t="shared" si="38"/>
        <v>0.70563767223998153</v>
      </c>
      <c r="AD47" s="165"/>
      <c r="AE47" s="77"/>
    </row>
    <row r="48" spans="1:31" ht="15.75" x14ac:dyDescent="0.25">
      <c r="A48" s="145" t="s">
        <v>52</v>
      </c>
      <c r="B48" s="181">
        <f>'PSPF Income Statement '!B48+'ADB Income Statement'!B48+'HAA Income Statement'!B48+'ATB Income Statement'!B49+'ACC Income Statement'!B48+'AFSC Income Statement'!B48+'ANT Income Statement'!B48+'WCA Income Statement'!B48+'AASPA Income Statement'!B48</f>
        <v>117282.01</v>
      </c>
      <c r="C48" s="76">
        <f>'PSPF Income Statement '!C48+'ADB Income Statement'!C48+'HAA Income Statement'!C48+'ATB Income Statement'!C49+'ACC Income Statement'!C48+'AFSC Income Statement'!C48+'ANT Income Statement'!C48+'WCA Income Statement'!C48+'AASPA Income Statement'!C48</f>
        <v>110840.29000000001</v>
      </c>
      <c r="D48" s="76">
        <f t="shared" si="26"/>
        <v>6441.7199999999866</v>
      </c>
      <c r="E48" s="175">
        <f t="shared" si="27"/>
        <v>5.4925047754553209E-2</v>
      </c>
      <c r="F48" s="205"/>
      <c r="G48" s="213">
        <f>'PSPF Income Statement '!G48+'ADB Income Statement'!G48+'HAA Income Statement'!G48+'ATB Income Statement'!G49+'ACC Income Statement'!G48+'AFSC Income Statement'!G48+'ANT Income Statement'!G48+'WCA Income Statement'!G48+'AASPA Income Statement'!G48</f>
        <v>122615.01</v>
      </c>
      <c r="H48" s="130">
        <f>'PSPF Income Statement '!H48+'ADB Income Statement'!H48+'HAA Income Statement'!H48+'ATB Income Statement'!H49+'ACC Income Statement'!H48+'AFSC Income Statement'!H48+'ANT Income Statement'!H48+'WCA Income Statement'!H48+'AASPA Income Statement'!H48</f>
        <v>108946.48000000001</v>
      </c>
      <c r="I48" s="130">
        <f t="shared" si="28"/>
        <v>13668.529999999984</v>
      </c>
      <c r="J48" s="220">
        <f t="shared" si="29"/>
        <v>0.11147517746807659</v>
      </c>
      <c r="K48" s="205"/>
      <c r="L48" s="181">
        <v>0</v>
      </c>
      <c r="M48" s="76">
        <v>0</v>
      </c>
      <c r="N48" s="76">
        <f t="shared" si="30"/>
        <v>0</v>
      </c>
      <c r="O48" s="175" t="str">
        <f t="shared" si="31"/>
        <v>-</v>
      </c>
      <c r="P48" s="205"/>
      <c r="Q48" s="213">
        <v>0</v>
      </c>
      <c r="R48" s="130">
        <v>0</v>
      </c>
      <c r="S48" s="130">
        <f t="shared" si="32"/>
        <v>0</v>
      </c>
      <c r="T48" s="220" t="str">
        <f t="shared" si="33"/>
        <v>-</v>
      </c>
      <c r="U48" s="205"/>
      <c r="V48" s="181">
        <f t="shared" si="34"/>
        <v>239897.02</v>
      </c>
      <c r="W48" s="76">
        <f t="shared" si="34"/>
        <v>219786.77000000002</v>
      </c>
      <c r="X48" s="76">
        <f t="shared" si="35"/>
        <v>20110.249999999971</v>
      </c>
      <c r="Y48" s="175">
        <f t="shared" si="36"/>
        <v>8.3828677821841932E-2</v>
      </c>
      <c r="Z48" s="205"/>
      <c r="AA48" s="181">
        <f>'PSPF Income Statement '!AA48+'ADB Income Statement'!AA48+'HAA Income Statement'!AA48+'ACC Income Statement'!AA48+'ATB Income Statement'!AA49+'AFSC Income Statement'!AA48+'ANT Income Statement'!AA48+'WCA Income Statement'!AA48+'AASPA Income Statement'!AA48</f>
        <v>440728.63999999996</v>
      </c>
      <c r="AB48" s="76">
        <f t="shared" si="37"/>
        <v>220941.86999999994</v>
      </c>
      <c r="AC48" s="175">
        <f t="shared" si="38"/>
        <v>0.50131044354185827</v>
      </c>
      <c r="AD48" s="163"/>
      <c r="AE48" s="89"/>
    </row>
    <row r="49" spans="1:31" ht="15.75" x14ac:dyDescent="0.25">
      <c r="A49" s="145" t="s">
        <v>53</v>
      </c>
      <c r="B49" s="181">
        <f>'PSPF Income Statement '!B49+'ADB Income Statement'!B49+'HAA Income Statement'!B49+'ATB Income Statement'!B50+'ACC Income Statement'!B49+'AFSC Income Statement'!B49+'ANT Income Statement'!B49+'WCA Income Statement'!B49+'AASPA Income Statement'!B49</f>
        <v>87472.49</v>
      </c>
      <c r="C49" s="76">
        <f>'PSPF Income Statement '!C49+'ADB Income Statement'!C49+'HAA Income Statement'!C49+'ATB Income Statement'!C50+'ACC Income Statement'!C49+'AFSC Income Statement'!C49+'ANT Income Statement'!C49+'WCA Income Statement'!C49+'AASPA Income Statement'!C49</f>
        <v>88810.32</v>
      </c>
      <c r="D49" s="76">
        <f t="shared" si="26"/>
        <v>-1337.8300000000017</v>
      </c>
      <c r="E49" s="175">
        <f t="shared" si="27"/>
        <v>-1.5294294240394914E-2</v>
      </c>
      <c r="F49" s="205"/>
      <c r="G49" s="213">
        <f>'PSPF Income Statement '!G49+'ADB Income Statement'!G49+'HAA Income Statement'!G49+'ATB Income Statement'!G50+'ACC Income Statement'!G49+'AFSC Income Statement'!G49+'ANT Income Statement'!G49+'WCA Income Statement'!G49+'AASPA Income Statement'!G49</f>
        <v>71417</v>
      </c>
      <c r="H49" s="130">
        <f>'PSPF Income Statement '!H49+'ADB Income Statement'!H49+'HAA Income Statement'!H49+'ATB Income Statement'!H50+'ACC Income Statement'!H49+'AFSC Income Statement'!H49+'ANT Income Statement'!H49+'WCA Income Statement'!H49+'AASPA Income Statement'!H49</f>
        <v>58449.24</v>
      </c>
      <c r="I49" s="130">
        <f t="shared" si="28"/>
        <v>12967.760000000002</v>
      </c>
      <c r="J49" s="220">
        <f t="shared" si="29"/>
        <v>0.18157805564501453</v>
      </c>
      <c r="K49" s="205"/>
      <c r="L49" s="181">
        <v>0</v>
      </c>
      <c r="M49" s="76">
        <v>0</v>
      </c>
      <c r="N49" s="76">
        <f t="shared" si="30"/>
        <v>0</v>
      </c>
      <c r="O49" s="175" t="str">
        <f t="shared" si="31"/>
        <v>-</v>
      </c>
      <c r="P49" s="205"/>
      <c r="Q49" s="213">
        <v>0</v>
      </c>
      <c r="R49" s="130">
        <v>0</v>
      </c>
      <c r="S49" s="130">
        <f t="shared" si="32"/>
        <v>0</v>
      </c>
      <c r="T49" s="220" t="str">
        <f t="shared" si="33"/>
        <v>-</v>
      </c>
      <c r="U49" s="205"/>
      <c r="V49" s="181">
        <f t="shared" si="34"/>
        <v>158889.49</v>
      </c>
      <c r="W49" s="76">
        <f t="shared" si="34"/>
        <v>147259.56</v>
      </c>
      <c r="X49" s="76">
        <f t="shared" si="35"/>
        <v>11629.929999999993</v>
      </c>
      <c r="Y49" s="175">
        <f t="shared" si="36"/>
        <v>7.3195086723483058E-2</v>
      </c>
      <c r="Z49" s="205"/>
      <c r="AA49" s="181">
        <f>'PSPF Income Statement '!AA49+'ADB Income Statement'!AA49+'HAA Income Statement'!AA49+'ACC Income Statement'!AA49+'ATB Income Statement'!AA50+'AFSC Income Statement'!AA49+'ANT Income Statement'!AA49+'WCA Income Statement'!AA49+'AASPA Income Statement'!AA49</f>
        <v>265721.08999999997</v>
      </c>
      <c r="AB49" s="76">
        <f t="shared" si="37"/>
        <v>118461.52999999997</v>
      </c>
      <c r="AC49" s="175">
        <f t="shared" si="38"/>
        <v>0.44581154623443697</v>
      </c>
      <c r="AD49" s="163"/>
      <c r="AE49" s="90"/>
    </row>
    <row r="50" spans="1:31" ht="15.75" x14ac:dyDescent="0.25">
      <c r="A50" s="145" t="s">
        <v>54</v>
      </c>
      <c r="B50" s="181">
        <f>'PSPF Income Statement '!B50+'ADB Income Statement'!B50+'HAA Income Statement'!B50+'ATB Income Statement'!B51+'ACC Income Statement'!B50+'AFSC Income Statement'!B50+'ANT Income Statement'!B50+'WCA Income Statement'!B50+'AASPA Income Statement'!B50</f>
        <v>92367.679999999993</v>
      </c>
      <c r="C50" s="76">
        <f>'PSPF Income Statement '!C50+'ADB Income Statement'!C50+'HAA Income Statement'!C50+'ATB Income Statement'!C51+'ACC Income Statement'!C50+'AFSC Income Statement'!C50+'ANT Income Statement'!C50+'WCA Income Statement'!C50+'AASPA Income Statement'!C50</f>
        <v>125599.16</v>
      </c>
      <c r="D50" s="76"/>
      <c r="E50" s="175">
        <f t="shared" si="27"/>
        <v>0</v>
      </c>
      <c r="F50" s="205"/>
      <c r="G50" s="213">
        <f>'PSPF Income Statement '!G50+'ADB Income Statement'!G50+'HAA Income Statement'!G50+'ATB Income Statement'!G51+'ACC Income Statement'!G50+'AFSC Income Statement'!G50+'ANT Income Statement'!G50+'WCA Income Statement'!G50+'AASPA Income Statement'!G50</f>
        <v>85781.68</v>
      </c>
      <c r="H50" s="130">
        <f>'PSPF Income Statement '!H50+'ADB Income Statement'!H50+'HAA Income Statement'!H50+'ATB Income Statement'!H51+'ACC Income Statement'!H50+'AFSC Income Statement'!H50+'ANT Income Statement'!H50+'WCA Income Statement'!H50+'AASPA Income Statement'!H50</f>
        <v>96128.950000000012</v>
      </c>
      <c r="I50" s="130"/>
      <c r="J50" s="220">
        <f t="shared" si="29"/>
        <v>0</v>
      </c>
      <c r="K50" s="205"/>
      <c r="L50" s="181"/>
      <c r="M50" s="76"/>
      <c r="N50" s="76"/>
      <c r="O50" s="175"/>
      <c r="P50" s="205"/>
      <c r="Q50" s="213"/>
      <c r="R50" s="130"/>
      <c r="S50" s="130"/>
      <c r="T50" s="220"/>
      <c r="U50" s="205"/>
      <c r="V50" s="181"/>
      <c r="W50" s="76"/>
      <c r="X50" s="76"/>
      <c r="Y50" s="175" t="str">
        <f t="shared" si="36"/>
        <v>-</v>
      </c>
      <c r="Z50" s="205"/>
      <c r="AA50" s="181">
        <f>'PSPF Income Statement '!AA50+'ADB Income Statement'!AA50+'HAA Income Statement'!AA50+'ACC Income Statement'!AA50+'ATB Income Statement'!AA51+'AFSC Income Statement'!AA50+'ANT Income Statement'!AA50+'WCA Income Statement'!AA50+'AASPA Income Statement'!AA50</f>
        <v>274689.36</v>
      </c>
      <c r="AB50" s="76"/>
      <c r="AC50" s="175">
        <f t="shared" si="38"/>
        <v>0</v>
      </c>
      <c r="AD50" s="163"/>
      <c r="AE50" s="88"/>
    </row>
    <row r="51" spans="1:31" ht="15.75" x14ac:dyDescent="0.25">
      <c r="A51" s="145" t="s">
        <v>55</v>
      </c>
      <c r="B51" s="181">
        <f>'PSPF Income Statement '!B51+'ADB Income Statement'!B51+'HAA Income Statement'!B51+'ATB Income Statement'!B52+'ACC Income Statement'!B51+'AFSC Income Statement'!B51+'ANT Income Statement'!B51+'WCA Income Statement'!B51+'AASPA Income Statement'!B51</f>
        <v>2295</v>
      </c>
      <c r="C51" s="76">
        <f>'PSPF Income Statement '!C51+'ADB Income Statement'!C51+'HAA Income Statement'!C51+'ATB Income Statement'!C52+'ACC Income Statement'!C51+'AFSC Income Statement'!C51+'ANT Income Statement'!C51+'WCA Income Statement'!C51+'AASPA Income Statement'!C51</f>
        <v>19898</v>
      </c>
      <c r="D51" s="76">
        <f t="shared" ref="D51:D74" si="39">B51-C51</f>
        <v>-17603</v>
      </c>
      <c r="E51" s="175">
        <f t="shared" si="27"/>
        <v>-7.6701525054466231</v>
      </c>
      <c r="F51" s="207"/>
      <c r="G51" s="213">
        <f>'PSPF Income Statement '!G51+'ADB Income Statement'!G51+'HAA Income Statement'!G51+'ATB Income Statement'!G52+'ACC Income Statement'!G51+'AFSC Income Statement'!G51+'ANT Income Statement'!G51+'WCA Income Statement'!G51+'AASPA Income Statement'!G51</f>
        <v>2036</v>
      </c>
      <c r="H51" s="130">
        <f>'PSPF Income Statement '!H51+'ADB Income Statement'!H51+'HAA Income Statement'!H51+'ATB Income Statement'!H52+'ACC Income Statement'!H51+'AFSC Income Statement'!H51+'ANT Income Statement'!H51+'WCA Income Statement'!H51+'AASPA Income Statement'!H51</f>
        <v>12832</v>
      </c>
      <c r="I51" s="130">
        <f t="shared" ref="I51:I74" si="40">G51-H51</f>
        <v>-10796</v>
      </c>
      <c r="J51" s="220">
        <f t="shared" si="29"/>
        <v>-5.3025540275049119</v>
      </c>
      <c r="K51" s="207"/>
      <c r="L51" s="181">
        <v>0</v>
      </c>
      <c r="M51" s="76">
        <v>0</v>
      </c>
      <c r="N51" s="76">
        <f t="shared" ref="N51:N73" si="41">L51-M51</f>
        <v>0</v>
      </c>
      <c r="O51" s="175" t="str">
        <f t="shared" ref="O51:O70" si="42">IF(ISERROR(N51/L51),"-",N51/L51)</f>
        <v>-</v>
      </c>
      <c r="P51" s="207"/>
      <c r="Q51" s="213">
        <v>0</v>
      </c>
      <c r="R51" s="130">
        <v>0</v>
      </c>
      <c r="S51" s="130">
        <f t="shared" ref="S51:S73" si="43">Q51-R51</f>
        <v>0</v>
      </c>
      <c r="T51" s="220" t="str">
        <f t="shared" ref="T51:T70" si="44">IF(ISERROR(S51/Q51),"-",S51/Q51)</f>
        <v>-</v>
      </c>
      <c r="U51" s="207"/>
      <c r="V51" s="181">
        <f t="shared" ref="V51:W74" si="45">B51+G51+L51+Q51</f>
        <v>4331</v>
      </c>
      <c r="W51" s="76">
        <f t="shared" si="45"/>
        <v>32730</v>
      </c>
      <c r="X51" s="76">
        <f t="shared" ref="X51:X74" si="46">V51-W51</f>
        <v>-28399</v>
      </c>
      <c r="Y51" s="175">
        <f t="shared" si="36"/>
        <v>-6.5571461556222586</v>
      </c>
      <c r="Z51" s="207"/>
      <c r="AA51" s="181">
        <f>'PSPF Income Statement '!AA51+'ADB Income Statement'!AA51+'HAA Income Statement'!AA51+'ACC Income Statement'!AA51+'ATB Income Statement'!AA52+'AFSC Income Statement'!AA51+'ANT Income Statement'!AA51+'WCA Income Statement'!AA51+'AASPA Income Statement'!AA51</f>
        <v>8029</v>
      </c>
      <c r="AB51" s="76">
        <f>AA51-W51</f>
        <v>-24701</v>
      </c>
      <c r="AC51" s="175">
        <f t="shared" si="38"/>
        <v>-3.0764727861502057</v>
      </c>
      <c r="AD51" s="165"/>
      <c r="AE51" s="77"/>
    </row>
    <row r="52" spans="1:31" ht="15.75" x14ac:dyDescent="0.25">
      <c r="A52" s="145" t="s">
        <v>56</v>
      </c>
      <c r="B52" s="181">
        <f>'PSPF Income Statement '!B52+'ADB Income Statement'!B52+'HAA Income Statement'!B52+'ATB Income Statement'!B53+'ACC Income Statement'!B52+'AFSC Income Statement'!B52+'ANT Income Statement'!B52+'WCA Income Statement'!B52+'AASPA Income Statement'!B52</f>
        <v>141857</v>
      </c>
      <c r="C52" s="76">
        <f>'PSPF Income Statement '!C52+'ADB Income Statement'!C52+'HAA Income Statement'!C52+'ATB Income Statement'!C53+'ACC Income Statement'!C52+'AFSC Income Statement'!C52+'ANT Income Statement'!C52+'WCA Income Statement'!C52+'AASPA Income Statement'!C52</f>
        <v>143015.79999999999</v>
      </c>
      <c r="D52" s="76">
        <f t="shared" si="39"/>
        <v>-1158.7999999999884</v>
      </c>
      <c r="E52" s="175">
        <f t="shared" si="27"/>
        <v>-8.1687896966662794E-3</v>
      </c>
      <c r="F52" s="207"/>
      <c r="G52" s="213">
        <f>'PSPF Income Statement '!G52+'ADB Income Statement'!G52+'HAA Income Statement'!G52+'ATB Income Statement'!G53+'ACC Income Statement'!G52+'AFSC Income Statement'!G52+'ANT Income Statement'!G52+'WCA Income Statement'!G52+'AASPA Income Statement'!G52</f>
        <v>141365</v>
      </c>
      <c r="H52" s="130">
        <f>'PSPF Income Statement '!H52+'ADB Income Statement'!H52+'HAA Income Statement'!H52+'ATB Income Statement'!H53+'ACC Income Statement'!H52+'AFSC Income Statement'!H52+'ANT Income Statement'!H52+'WCA Income Statement'!H52+'AASPA Income Statement'!H52</f>
        <v>139945.46</v>
      </c>
      <c r="I52" s="130">
        <f t="shared" si="40"/>
        <v>1419.5400000000081</v>
      </c>
      <c r="J52" s="220">
        <f t="shared" si="29"/>
        <v>1.0041665192940318E-2</v>
      </c>
      <c r="K52" s="207"/>
      <c r="L52" s="181">
        <v>0</v>
      </c>
      <c r="M52" s="76">
        <v>0</v>
      </c>
      <c r="N52" s="76">
        <f t="shared" si="41"/>
        <v>0</v>
      </c>
      <c r="O52" s="175" t="str">
        <f t="shared" si="42"/>
        <v>-</v>
      </c>
      <c r="P52" s="207"/>
      <c r="Q52" s="213">
        <v>0</v>
      </c>
      <c r="R52" s="130">
        <v>0</v>
      </c>
      <c r="S52" s="130">
        <f t="shared" si="43"/>
        <v>0</v>
      </c>
      <c r="T52" s="220" t="str">
        <f t="shared" si="44"/>
        <v>-</v>
      </c>
      <c r="U52" s="207"/>
      <c r="V52" s="181">
        <f t="shared" si="45"/>
        <v>283222</v>
      </c>
      <c r="W52" s="76">
        <f t="shared" si="45"/>
        <v>282961.26</v>
      </c>
      <c r="X52" s="76">
        <f t="shared" si="46"/>
        <v>260.73999999999069</v>
      </c>
      <c r="Y52" s="175">
        <f t="shared" si="36"/>
        <v>9.2062057326051895E-4</v>
      </c>
      <c r="Z52" s="207"/>
      <c r="AA52" s="181">
        <f>'PSPF Income Statement '!AA52+'ADB Income Statement'!AA52+'HAA Income Statement'!AA52+'ACC Income Statement'!AA52+'ATB Income Statement'!AA53+'AFSC Income Statement'!AA52+'ANT Income Statement'!AA52+'WCA Income Statement'!AA52+'AASPA Income Statement'!AA52</f>
        <v>518692</v>
      </c>
      <c r="AB52" s="76">
        <f>AA52-W52</f>
        <v>235730.74</v>
      </c>
      <c r="AC52" s="175">
        <f t="shared" si="38"/>
        <v>0.45447151681537407</v>
      </c>
      <c r="AD52" s="165"/>
      <c r="AE52" s="78"/>
    </row>
    <row r="53" spans="1:31" ht="15.75" x14ac:dyDescent="0.25">
      <c r="A53" s="270" t="s">
        <v>57</v>
      </c>
      <c r="B53" s="181">
        <f>'PSPF Income Statement '!B53+'ADB Income Statement'!B53+'HAA Income Statement'!B53+'ATB Income Statement'!B54+'ACC Income Statement'!B53+'AFSC Income Statement'!B53+'ANT Income Statement'!B53+'WCA Income Statement'!B53+'AASPA Income Statement'!B53</f>
        <v>735554.25</v>
      </c>
      <c r="C53" s="76">
        <f>'PSPF Income Statement '!C53+'ADB Income Statement'!C53+'HAA Income Statement'!C53+'ATB Income Statement'!C54+'ACC Income Statement'!C53+'AFSC Income Statement'!C53+'ANT Income Statement'!C53+'WCA Income Statement'!C53+'AASPA Income Statement'!C53</f>
        <v>827250</v>
      </c>
      <c r="D53" s="76">
        <f t="shared" si="39"/>
        <v>-91695.75</v>
      </c>
      <c r="E53" s="175">
        <f t="shared" si="27"/>
        <v>-0.12466211703623492</v>
      </c>
      <c r="F53" s="207"/>
      <c r="G53" s="213">
        <f>'PSPF Income Statement '!G53+'ADB Income Statement'!G53+'HAA Income Statement'!G53+'ATB Income Statement'!G54+'ACC Income Statement'!G53+'AFSC Income Statement'!G53+'ANT Income Statement'!G53+'WCA Income Statement'!G53+'AASPA Income Statement'!G53</f>
        <v>733154.25</v>
      </c>
      <c r="H53" s="130">
        <f>'PSPF Income Statement '!H53+'ADB Income Statement'!H53+'HAA Income Statement'!H53+'ATB Income Statement'!H54+'ACC Income Statement'!H53+'AFSC Income Statement'!H53+'ANT Income Statement'!H53+'WCA Income Statement'!H53+'AASPA Income Statement'!H53</f>
        <v>364538.70999999996</v>
      </c>
      <c r="I53" s="130">
        <f t="shared" si="40"/>
        <v>368615.54000000004</v>
      </c>
      <c r="J53" s="220">
        <f t="shared" si="29"/>
        <v>0.50278033578881942</v>
      </c>
      <c r="K53" s="207"/>
      <c r="L53" s="181">
        <v>0</v>
      </c>
      <c r="M53" s="76">
        <v>0</v>
      </c>
      <c r="N53" s="76">
        <f t="shared" si="41"/>
        <v>0</v>
      </c>
      <c r="O53" s="175" t="str">
        <f t="shared" si="42"/>
        <v>-</v>
      </c>
      <c r="P53" s="207"/>
      <c r="Q53" s="213">
        <v>0</v>
      </c>
      <c r="R53" s="130">
        <v>0</v>
      </c>
      <c r="S53" s="130">
        <f t="shared" si="43"/>
        <v>0</v>
      </c>
      <c r="T53" s="220" t="str">
        <f t="shared" si="44"/>
        <v>-</v>
      </c>
      <c r="U53" s="207"/>
      <c r="V53" s="181">
        <f t="shared" si="45"/>
        <v>1468708.5</v>
      </c>
      <c r="W53" s="76">
        <f t="shared" si="45"/>
        <v>1191788.71</v>
      </c>
      <c r="X53" s="76">
        <f t="shared" si="46"/>
        <v>276919.79000000004</v>
      </c>
      <c r="Y53" s="175">
        <f t="shared" si="36"/>
        <v>0.18854646105745287</v>
      </c>
      <c r="Z53" s="207"/>
      <c r="AA53" s="181">
        <f>'PSPF Income Statement '!AA53+'ADB Income Statement'!AA53+'HAA Income Statement'!AA53+'ACC Income Statement'!AA53+'ATB Income Statement'!AA54+'AFSC Income Statement'!AA53+'ANT Income Statement'!AA53+'WCA Income Statement'!AA53+'AASPA Income Statement'!AA53</f>
        <v>2935017</v>
      </c>
      <c r="AB53" s="76">
        <v>0</v>
      </c>
      <c r="AC53" s="175">
        <f t="shared" si="38"/>
        <v>0</v>
      </c>
      <c r="AD53" s="165"/>
      <c r="AE53" s="78"/>
    </row>
    <row r="54" spans="1:31" ht="15.75" x14ac:dyDescent="0.25">
      <c r="A54" s="145" t="s">
        <v>58</v>
      </c>
      <c r="B54" s="181">
        <f>'PSPF Income Statement '!B54+'ADB Income Statement'!B54+'HAA Income Statement'!B54+'ATB Income Statement'!B55+'ACC Income Statement'!B54+'AFSC Income Statement'!B54+'ANT Income Statement'!B54+'WCA Income Statement'!B54+'AASPA Income Statement'!B54</f>
        <v>0</v>
      </c>
      <c r="C54" s="76">
        <f>'PSPF Income Statement '!C54+'ADB Income Statement'!C54+'HAA Income Statement'!C54+'ATB Income Statement'!C55+'ACC Income Statement'!C54+'AFSC Income Statement'!C54+'ANT Income Statement'!C54+'WCA Income Statement'!C54+'AASPA Income Statement'!C54</f>
        <v>0</v>
      </c>
      <c r="D54" s="76">
        <f t="shared" si="39"/>
        <v>0</v>
      </c>
      <c r="E54" s="175" t="str">
        <f t="shared" si="27"/>
        <v>-</v>
      </c>
      <c r="F54" s="207"/>
      <c r="G54" s="213">
        <f>'PSPF Income Statement '!G54+'ADB Income Statement'!G54+'HAA Income Statement'!G54+'ATB Income Statement'!G55+'ACC Income Statement'!G54+'AFSC Income Statement'!G54+'ANT Income Statement'!G54+'WCA Income Statement'!G54+'AASPA Income Statement'!G54</f>
        <v>0</v>
      </c>
      <c r="H54" s="130">
        <f>'PSPF Income Statement '!H54+'ADB Income Statement'!H54+'HAA Income Statement'!H54+'ATB Income Statement'!H55+'ACC Income Statement'!H54+'AFSC Income Statement'!H54+'ANT Income Statement'!H54+'WCA Income Statement'!H54+'AASPA Income Statement'!H54</f>
        <v>0</v>
      </c>
      <c r="I54" s="130">
        <f t="shared" si="40"/>
        <v>0</v>
      </c>
      <c r="J54" s="220" t="str">
        <f t="shared" si="29"/>
        <v>-</v>
      </c>
      <c r="K54" s="207"/>
      <c r="L54" s="181">
        <v>0</v>
      </c>
      <c r="M54" s="76">
        <v>0</v>
      </c>
      <c r="N54" s="76">
        <f t="shared" si="41"/>
        <v>0</v>
      </c>
      <c r="O54" s="176" t="str">
        <f t="shared" si="42"/>
        <v>-</v>
      </c>
      <c r="P54" s="207"/>
      <c r="Q54" s="213">
        <v>0</v>
      </c>
      <c r="R54" s="130">
        <v>0</v>
      </c>
      <c r="S54" s="130">
        <f t="shared" si="43"/>
        <v>0</v>
      </c>
      <c r="T54" s="214" t="str">
        <f t="shared" si="44"/>
        <v>-</v>
      </c>
      <c r="U54" s="207"/>
      <c r="V54" s="181">
        <f t="shared" si="45"/>
        <v>0</v>
      </c>
      <c r="W54" s="76">
        <f t="shared" si="45"/>
        <v>0</v>
      </c>
      <c r="X54" s="76">
        <f t="shared" si="46"/>
        <v>0</v>
      </c>
      <c r="Y54" s="175" t="str">
        <f t="shared" si="36"/>
        <v>-</v>
      </c>
      <c r="Z54" s="207"/>
      <c r="AA54" s="181">
        <f>'PSPF Income Statement '!AA54+'ADB Income Statement'!AA54+'HAA Income Statement'!AA54+'ACC Income Statement'!AA54+'ATB Income Statement'!AA55+'AFSC Income Statement'!AA54+'ANT Income Statement'!AA54+'WCA Income Statement'!AA54+'AASPA Income Statement'!AA54</f>
        <v>0</v>
      </c>
      <c r="AB54" s="76">
        <f t="shared" ref="AB54:AB74" si="47">AA54-W54</f>
        <v>0</v>
      </c>
      <c r="AC54" s="175" t="str">
        <f t="shared" si="38"/>
        <v>-</v>
      </c>
      <c r="AD54" s="165"/>
      <c r="AE54" s="77"/>
    </row>
    <row r="55" spans="1:31" ht="15.75" x14ac:dyDescent="0.25">
      <c r="A55" s="145" t="s">
        <v>59</v>
      </c>
      <c r="B55" s="181">
        <f>'PSPF Income Statement '!B55+'ADB Income Statement'!B55+'HAA Income Statement'!B55+'ATB Income Statement'!B56+'ACC Income Statement'!B55+'AFSC Income Statement'!B55+'ANT Income Statement'!B55+'WCA Income Statement'!B55+'AASPA Income Statement'!B55</f>
        <v>24892</v>
      </c>
      <c r="C55" s="76">
        <f>'PSPF Income Statement '!C55+'ADB Income Statement'!C55+'HAA Income Statement'!C55+'ATB Income Statement'!C56+'ACC Income Statement'!C55+'AFSC Income Statement'!C55+'ANT Income Statement'!C55+'WCA Income Statement'!C55+'AASPA Income Statement'!C55</f>
        <v>12361.939999999999</v>
      </c>
      <c r="D55" s="76">
        <f t="shared" si="39"/>
        <v>12530.060000000001</v>
      </c>
      <c r="E55" s="175">
        <f t="shared" si="27"/>
        <v>0.50337698859071189</v>
      </c>
      <c r="F55" s="207"/>
      <c r="G55" s="213">
        <f>'PSPF Income Statement '!G55+'ADB Income Statement'!G55+'HAA Income Statement'!G55+'ATB Income Statement'!G56+'ACC Income Statement'!G55+'AFSC Income Statement'!G55+'ANT Income Statement'!G55+'WCA Income Statement'!G55+'AASPA Income Statement'!G55</f>
        <v>20802</v>
      </c>
      <c r="H55" s="130">
        <f>'PSPF Income Statement '!H55+'ADB Income Statement'!H55+'HAA Income Statement'!H55+'ATB Income Statement'!H56+'ACC Income Statement'!H55+'AFSC Income Statement'!H55+'ANT Income Statement'!H55+'WCA Income Statement'!H55+'AASPA Income Statement'!H55</f>
        <v>13278.510000000002</v>
      </c>
      <c r="I55" s="130">
        <f t="shared" si="40"/>
        <v>7523.489999999998</v>
      </c>
      <c r="J55" s="220">
        <f t="shared" si="29"/>
        <v>0.36167147389674059</v>
      </c>
      <c r="K55" s="207"/>
      <c r="L55" s="181">
        <v>0</v>
      </c>
      <c r="M55" s="76">
        <v>0</v>
      </c>
      <c r="N55" s="76">
        <f t="shared" si="41"/>
        <v>0</v>
      </c>
      <c r="O55" s="176" t="str">
        <f t="shared" si="42"/>
        <v>-</v>
      </c>
      <c r="P55" s="207"/>
      <c r="Q55" s="213">
        <v>0</v>
      </c>
      <c r="R55" s="130">
        <v>0</v>
      </c>
      <c r="S55" s="130">
        <f t="shared" si="43"/>
        <v>0</v>
      </c>
      <c r="T55" s="214" t="str">
        <f t="shared" si="44"/>
        <v>-</v>
      </c>
      <c r="U55" s="207"/>
      <c r="V55" s="181">
        <f t="shared" si="45"/>
        <v>45694</v>
      </c>
      <c r="W55" s="76">
        <f t="shared" si="45"/>
        <v>25640.45</v>
      </c>
      <c r="X55" s="76">
        <f t="shared" si="46"/>
        <v>20053.55</v>
      </c>
      <c r="Y55" s="175">
        <f t="shared" si="36"/>
        <v>0.43886615310544053</v>
      </c>
      <c r="Z55" s="207"/>
      <c r="AA55" s="181">
        <f>'PSPF Income Statement '!AA55+'ADB Income Statement'!AA55+'HAA Income Statement'!AA55+'ACC Income Statement'!AA55+'ATB Income Statement'!AA56+'AFSC Income Statement'!AA55+'ANT Income Statement'!AA55+'WCA Income Statement'!AA55+'AASPA Income Statement'!AA55</f>
        <v>90194</v>
      </c>
      <c r="AB55" s="76">
        <f t="shared" si="47"/>
        <v>64553.55</v>
      </c>
      <c r="AC55" s="175">
        <f t="shared" si="38"/>
        <v>0.71571889482670692</v>
      </c>
      <c r="AD55" s="165"/>
      <c r="AE55" s="77"/>
    </row>
    <row r="56" spans="1:31" ht="15.75" x14ac:dyDescent="0.25">
      <c r="A56" s="145" t="s">
        <v>60</v>
      </c>
      <c r="B56" s="181">
        <f>'PSPF Income Statement '!B56+'ADB Income Statement'!B56+'HAA Income Statement'!B56+'ATB Income Statement'!B57+'ACC Income Statement'!B56+'AFSC Income Statement'!B56+'ANT Income Statement'!B56+'WCA Income Statement'!B56+'AASPA Income Statement'!B56</f>
        <v>282173.02</v>
      </c>
      <c r="C56" s="76">
        <f>'PSPF Income Statement '!C56+'ADB Income Statement'!C56+'HAA Income Statement'!C56+'ATB Income Statement'!C57+'ACC Income Statement'!C56+'AFSC Income Statement'!C56+'ANT Income Statement'!C56+'WCA Income Statement'!C56+'AASPA Income Statement'!C56</f>
        <v>156743.16999999998</v>
      </c>
      <c r="D56" s="76">
        <f t="shared" si="39"/>
        <v>125429.85000000003</v>
      </c>
      <c r="E56" s="175">
        <f t="shared" si="27"/>
        <v>0.44451397231386625</v>
      </c>
      <c r="F56" s="207"/>
      <c r="G56" s="213">
        <f>'PSPF Income Statement '!G56+'ADB Income Statement'!G56+'HAA Income Statement'!G56+'ATB Income Statement'!G57+'ACC Income Statement'!G56+'AFSC Income Statement'!G56+'ANT Income Statement'!G56+'WCA Income Statement'!G56+'AASPA Income Statement'!G56</f>
        <v>382605.72</v>
      </c>
      <c r="H56" s="130">
        <f>'PSPF Income Statement '!H56+'ADB Income Statement'!H56+'HAA Income Statement'!H56+'ATB Income Statement'!H57+'ACC Income Statement'!H56+'AFSC Income Statement'!H56+'ANT Income Statement'!H56+'WCA Income Statement'!H56+'AASPA Income Statement'!H56</f>
        <v>376777.25</v>
      </c>
      <c r="I56" s="130">
        <f t="shared" si="40"/>
        <v>5828.4699999999721</v>
      </c>
      <c r="J56" s="220">
        <f t="shared" si="29"/>
        <v>1.5233619612377913E-2</v>
      </c>
      <c r="K56" s="207"/>
      <c r="L56" s="181">
        <v>0</v>
      </c>
      <c r="M56" s="76">
        <v>0</v>
      </c>
      <c r="N56" s="76">
        <f t="shared" si="41"/>
        <v>0</v>
      </c>
      <c r="O56" s="175" t="str">
        <f t="shared" si="42"/>
        <v>-</v>
      </c>
      <c r="P56" s="207"/>
      <c r="Q56" s="213">
        <v>0</v>
      </c>
      <c r="R56" s="130">
        <v>0</v>
      </c>
      <c r="S56" s="130">
        <f t="shared" si="43"/>
        <v>0</v>
      </c>
      <c r="T56" s="220" t="str">
        <f t="shared" si="44"/>
        <v>-</v>
      </c>
      <c r="U56" s="207"/>
      <c r="V56" s="181">
        <f t="shared" si="45"/>
        <v>664778.74</v>
      </c>
      <c r="W56" s="76">
        <f t="shared" si="45"/>
        <v>533520.41999999993</v>
      </c>
      <c r="X56" s="76">
        <f t="shared" si="46"/>
        <v>131258.32000000007</v>
      </c>
      <c r="Y56" s="175">
        <f t="shared" si="36"/>
        <v>0.19744662712890015</v>
      </c>
      <c r="Z56" s="207"/>
      <c r="AA56" s="181">
        <f>'PSPF Income Statement '!AA56+'ADB Income Statement'!AA56+'HAA Income Statement'!AA56+'ACC Income Statement'!AA56+'ATB Income Statement'!AA57+'AFSC Income Statement'!AA56+'ANT Income Statement'!AA56+'WCA Income Statement'!AA56+'AASPA Income Statement'!AA56</f>
        <v>967720.59999999986</v>
      </c>
      <c r="AB56" s="76">
        <f t="shared" si="47"/>
        <v>434200.17999999993</v>
      </c>
      <c r="AC56" s="175">
        <f t="shared" si="38"/>
        <v>0.44868341130694128</v>
      </c>
      <c r="AD56" s="165"/>
      <c r="AE56" s="78"/>
    </row>
    <row r="57" spans="1:31" ht="15.75" x14ac:dyDescent="0.25">
      <c r="A57" s="145" t="s">
        <v>61</v>
      </c>
      <c r="B57" s="181">
        <f>'PSPF Income Statement '!B57+'ADB Income Statement'!B57+'HAA Income Statement'!B57+'ATB Income Statement'!B58+'ACC Income Statement'!B57+'AFSC Income Statement'!B57+'ANT Income Statement'!B57+'WCA Income Statement'!B57+'AASPA Income Statement'!B57</f>
        <v>56114</v>
      </c>
      <c r="C57" s="76">
        <f>'PSPF Income Statement '!C57+'ADB Income Statement'!C57+'HAA Income Statement'!C57+'ATB Income Statement'!C58+'ACC Income Statement'!C57+'AFSC Income Statement'!C57+'ANT Income Statement'!C57+'WCA Income Statement'!C57+'AASPA Income Statement'!C57</f>
        <v>66086.100000000006</v>
      </c>
      <c r="D57" s="76">
        <f t="shared" si="39"/>
        <v>-9972.1000000000058</v>
      </c>
      <c r="E57" s="175">
        <f t="shared" si="27"/>
        <v>-0.17771144455929011</v>
      </c>
      <c r="F57" s="207"/>
      <c r="G57" s="213">
        <f>'PSPF Income Statement '!G57+'ADB Income Statement'!G57+'HAA Income Statement'!G57+'ATB Income Statement'!G58+'ACC Income Statement'!G57+'AFSC Income Statement'!G57+'ANT Income Statement'!G57+'WCA Income Statement'!G57+'AASPA Income Statement'!G57</f>
        <v>60441</v>
      </c>
      <c r="H57" s="130">
        <f>'PSPF Income Statement '!H57+'ADB Income Statement'!H57+'HAA Income Statement'!H57+'ATB Income Statement'!H58+'ACC Income Statement'!H57+'AFSC Income Statement'!H57+'ANT Income Statement'!H57+'WCA Income Statement'!H57+'AASPA Income Statement'!H57</f>
        <v>-2256</v>
      </c>
      <c r="I57" s="130">
        <f t="shared" si="40"/>
        <v>62697</v>
      </c>
      <c r="J57" s="220">
        <f t="shared" si="29"/>
        <v>1.0373256564252742</v>
      </c>
      <c r="K57" s="207"/>
      <c r="L57" s="181">
        <v>0</v>
      </c>
      <c r="M57" s="76">
        <v>0</v>
      </c>
      <c r="N57" s="76">
        <f t="shared" si="41"/>
        <v>0</v>
      </c>
      <c r="O57" s="175" t="str">
        <f t="shared" si="42"/>
        <v>-</v>
      </c>
      <c r="P57" s="207"/>
      <c r="Q57" s="213">
        <v>0</v>
      </c>
      <c r="R57" s="130">
        <v>0</v>
      </c>
      <c r="S57" s="130">
        <f t="shared" si="43"/>
        <v>0</v>
      </c>
      <c r="T57" s="220" t="str">
        <f t="shared" si="44"/>
        <v>-</v>
      </c>
      <c r="U57" s="207"/>
      <c r="V57" s="181">
        <f t="shared" si="45"/>
        <v>116555</v>
      </c>
      <c r="W57" s="76">
        <f t="shared" si="45"/>
        <v>63830.100000000006</v>
      </c>
      <c r="X57" s="76">
        <f t="shared" si="46"/>
        <v>52724.899999999994</v>
      </c>
      <c r="Y57" s="175">
        <f t="shared" si="36"/>
        <v>0.45236068808716912</v>
      </c>
      <c r="Z57" s="207"/>
      <c r="AA57" s="181">
        <f>'PSPF Income Statement '!AA57+'ADB Income Statement'!AA57+'HAA Income Statement'!AA57+'ACC Income Statement'!AA57+'ATB Income Statement'!AA58+'AFSC Income Statement'!AA57+'ANT Income Statement'!AA57+'WCA Income Statement'!AA57+'AASPA Income Statement'!AA57</f>
        <v>184737.41</v>
      </c>
      <c r="AB57" s="76">
        <f t="shared" si="47"/>
        <v>120907.31</v>
      </c>
      <c r="AC57" s="175">
        <f t="shared" si="38"/>
        <v>0.65448200231885889</v>
      </c>
      <c r="AD57" s="165"/>
      <c r="AE57" s="78"/>
    </row>
    <row r="58" spans="1:31" ht="15.75" x14ac:dyDescent="0.25">
      <c r="A58" s="145" t="s">
        <v>62</v>
      </c>
      <c r="B58" s="181">
        <f>'PSPF Income Statement '!B58+'ADB Income Statement'!B58+'HAA Income Statement'!B58+'ATB Income Statement'!B59+'ACC Income Statement'!B58+'AFSC Income Statement'!B58+'ANT Income Statement'!B58+'WCA Income Statement'!B58+'AASPA Income Statement'!B58</f>
        <v>9403</v>
      </c>
      <c r="C58" s="76">
        <f>'PSPF Income Statement '!C58+'ADB Income Statement'!C58+'HAA Income Statement'!C58+'ATB Income Statement'!C59+'ACC Income Statement'!C58+'AFSC Income Statement'!C58+'ANT Income Statement'!C58+'WCA Income Statement'!C58+'AASPA Income Statement'!C58</f>
        <v>7328</v>
      </c>
      <c r="D58" s="76">
        <f t="shared" si="39"/>
        <v>2075</v>
      </c>
      <c r="E58" s="175">
        <f t="shared" si="27"/>
        <v>0.22067425289801126</v>
      </c>
      <c r="F58" s="205"/>
      <c r="G58" s="213">
        <f>'PSPF Income Statement '!G58+'ADB Income Statement'!G58+'HAA Income Statement'!G58+'ATB Income Statement'!G59+'ACC Income Statement'!G58+'AFSC Income Statement'!G58+'ANT Income Statement'!G58+'WCA Income Statement'!G58+'AASPA Income Statement'!G58</f>
        <v>8866</v>
      </c>
      <c r="H58" s="130">
        <f>'PSPF Income Statement '!H58+'ADB Income Statement'!H58+'HAA Income Statement'!H58+'ATB Income Statement'!H59+'ACC Income Statement'!H58+'AFSC Income Statement'!H58+'ANT Income Statement'!H58+'WCA Income Statement'!H58+'AASPA Income Statement'!H58</f>
        <v>10321.02</v>
      </c>
      <c r="I58" s="130">
        <f t="shared" si="40"/>
        <v>-1455.0200000000004</v>
      </c>
      <c r="J58" s="220">
        <f t="shared" si="29"/>
        <v>-0.16411233927362964</v>
      </c>
      <c r="K58" s="205"/>
      <c r="L58" s="181">
        <v>0</v>
      </c>
      <c r="M58" s="76">
        <v>0</v>
      </c>
      <c r="N58" s="76">
        <f t="shared" si="41"/>
        <v>0</v>
      </c>
      <c r="O58" s="175" t="str">
        <f t="shared" si="42"/>
        <v>-</v>
      </c>
      <c r="P58" s="205"/>
      <c r="Q58" s="213">
        <v>0</v>
      </c>
      <c r="R58" s="130">
        <v>0</v>
      </c>
      <c r="S58" s="130">
        <f t="shared" si="43"/>
        <v>0</v>
      </c>
      <c r="T58" s="220" t="str">
        <f t="shared" si="44"/>
        <v>-</v>
      </c>
      <c r="U58" s="205"/>
      <c r="V58" s="181">
        <f t="shared" si="45"/>
        <v>18269</v>
      </c>
      <c r="W58" s="76">
        <f t="shared" si="45"/>
        <v>17649.02</v>
      </c>
      <c r="X58" s="76">
        <f t="shared" si="46"/>
        <v>619.97999999999956</v>
      </c>
      <c r="Y58" s="175">
        <f t="shared" si="36"/>
        <v>3.3936176035907796E-2</v>
      </c>
      <c r="Z58" s="205"/>
      <c r="AA58" s="181">
        <f>'PSPF Income Statement '!AA58+'ADB Income Statement'!AA58+'HAA Income Statement'!AA58+'ACC Income Statement'!AA58+'ATB Income Statement'!AA59+'AFSC Income Statement'!AA58+'ANT Income Statement'!AA58+'WCA Income Statement'!AA58+'AASPA Income Statement'!AA58</f>
        <v>35957</v>
      </c>
      <c r="AB58" s="76">
        <f t="shared" si="47"/>
        <v>18307.98</v>
      </c>
      <c r="AC58" s="175">
        <f t="shared" si="38"/>
        <v>0.50916316711627774</v>
      </c>
      <c r="AD58" s="163"/>
      <c r="AE58" s="78"/>
    </row>
    <row r="59" spans="1:31" ht="15.75" x14ac:dyDescent="0.25">
      <c r="A59" s="145" t="s">
        <v>63</v>
      </c>
      <c r="B59" s="181">
        <f>'PSPF Income Statement '!B59+'ADB Income Statement'!B59+'HAA Income Statement'!B59+'ATB Income Statement'!B60+'ACC Income Statement'!B59+'AFSC Income Statement'!B59+'ANT Income Statement'!B59+'WCA Income Statement'!B59+'AASPA Income Statement'!B59</f>
        <v>305295.26</v>
      </c>
      <c r="C59" s="76">
        <f>'PSPF Income Statement '!C59+'ADB Income Statement'!C59+'HAA Income Statement'!C59+'ATB Income Statement'!C60+'ACC Income Statement'!C59+'AFSC Income Statement'!C59+'ANT Income Statement'!C59+'WCA Income Statement'!C59+'AASPA Income Statement'!C59</f>
        <v>282015.38</v>
      </c>
      <c r="D59" s="76">
        <f t="shared" si="39"/>
        <v>23279.880000000005</v>
      </c>
      <c r="E59" s="175">
        <f t="shared" si="27"/>
        <v>7.6253656869746375E-2</v>
      </c>
      <c r="F59" s="205"/>
      <c r="G59" s="213">
        <f>'PSPF Income Statement '!G59+'ADB Income Statement'!G59+'HAA Income Statement'!G59+'ATB Income Statement'!G60+'ACC Income Statement'!G59+'AFSC Income Statement'!G59+'ANT Income Statement'!G59+'WCA Income Statement'!G59+'AASPA Income Statement'!G59</f>
        <v>232312.24</v>
      </c>
      <c r="H59" s="130">
        <f>'PSPF Income Statement '!H59+'ADB Income Statement'!H59+'HAA Income Statement'!H59+'ATB Income Statement'!H60+'ACC Income Statement'!H59+'AFSC Income Statement'!H59+'ANT Income Statement'!H59+'WCA Income Statement'!H59+'AASPA Income Statement'!H59</f>
        <v>253958.33000000002</v>
      </c>
      <c r="I59" s="130">
        <f t="shared" si="40"/>
        <v>-21646.090000000026</v>
      </c>
      <c r="J59" s="220">
        <f t="shared" si="29"/>
        <v>-9.3176709070516589E-2</v>
      </c>
      <c r="K59" s="205"/>
      <c r="L59" s="181">
        <v>0</v>
      </c>
      <c r="M59" s="76">
        <v>0</v>
      </c>
      <c r="N59" s="76">
        <f t="shared" si="41"/>
        <v>0</v>
      </c>
      <c r="O59" s="175" t="str">
        <f t="shared" si="42"/>
        <v>-</v>
      </c>
      <c r="P59" s="205"/>
      <c r="Q59" s="213">
        <v>0</v>
      </c>
      <c r="R59" s="130">
        <v>0</v>
      </c>
      <c r="S59" s="130">
        <f t="shared" si="43"/>
        <v>0</v>
      </c>
      <c r="T59" s="220" t="str">
        <f t="shared" si="44"/>
        <v>-</v>
      </c>
      <c r="U59" s="205"/>
      <c r="V59" s="181">
        <f t="shared" si="45"/>
        <v>537607.5</v>
      </c>
      <c r="W59" s="76">
        <f t="shared" si="45"/>
        <v>535973.71</v>
      </c>
      <c r="X59" s="76">
        <f t="shared" si="46"/>
        <v>1633.7900000000373</v>
      </c>
      <c r="Y59" s="175">
        <f t="shared" si="36"/>
        <v>3.0390015020252455E-3</v>
      </c>
      <c r="Z59" s="205"/>
      <c r="AA59" s="181">
        <f>'PSPF Income Statement '!AA59+'ADB Income Statement'!AA59+'HAA Income Statement'!AA59+'ACC Income Statement'!AA59+'ATB Income Statement'!AA60+'AFSC Income Statement'!AA59+'ANT Income Statement'!AA59+'WCA Income Statement'!AA59+'AASPA Income Statement'!AA59</f>
        <v>1686363.8199999998</v>
      </c>
      <c r="AB59" s="76">
        <f t="shared" si="47"/>
        <v>1150390.1099999999</v>
      </c>
      <c r="AC59" s="175">
        <f t="shared" si="38"/>
        <v>0.68217195859906432</v>
      </c>
      <c r="AD59" s="163"/>
      <c r="AE59" s="78"/>
    </row>
    <row r="60" spans="1:31" ht="15.75" x14ac:dyDescent="0.25">
      <c r="A60" s="145" t="s">
        <v>64</v>
      </c>
      <c r="B60" s="181">
        <f>'PSPF Income Statement '!B60+'ADB Income Statement'!B60+'HAA Income Statement'!B60+'ATB Income Statement'!B61+'ACC Income Statement'!B60+'AFSC Income Statement'!B60+'ANT Income Statement'!B60+'WCA Income Statement'!B60+'AASPA Income Statement'!B60</f>
        <v>102592</v>
      </c>
      <c r="C60" s="76">
        <f>'PSPF Income Statement '!C60+'ADB Income Statement'!C60+'HAA Income Statement'!C60+'ATB Income Statement'!C61+'ACC Income Statement'!C60+'AFSC Income Statement'!C60+'ANT Income Statement'!C60+'WCA Income Statement'!C60+'AASPA Income Statement'!C60</f>
        <v>92030.639999999985</v>
      </c>
      <c r="D60" s="76">
        <f t="shared" si="39"/>
        <v>10561.360000000015</v>
      </c>
      <c r="E60" s="175">
        <f t="shared" si="27"/>
        <v>0.10294525888958218</v>
      </c>
      <c r="F60" s="205"/>
      <c r="G60" s="213">
        <f>'PSPF Income Statement '!G60+'ADB Income Statement'!G60+'HAA Income Statement'!G60+'ATB Income Statement'!G61+'ACC Income Statement'!G60+'AFSC Income Statement'!G60+'ANT Income Statement'!G60+'WCA Income Statement'!G60+'AASPA Income Statement'!G60</f>
        <v>42675.91</v>
      </c>
      <c r="H60" s="130">
        <f>'PSPF Income Statement '!H60+'ADB Income Statement'!H60+'HAA Income Statement'!H60+'ATB Income Statement'!H61+'ACC Income Statement'!H60+'AFSC Income Statement'!H60+'ANT Income Statement'!H60+'WCA Income Statement'!H60+'AASPA Income Statement'!H60</f>
        <v>47452.869999999981</v>
      </c>
      <c r="I60" s="130">
        <f t="shared" si="40"/>
        <v>-4776.9599999999773</v>
      </c>
      <c r="J60" s="220">
        <f t="shared" si="29"/>
        <v>-0.11193575016912298</v>
      </c>
      <c r="K60" s="205"/>
      <c r="L60" s="181">
        <v>0</v>
      </c>
      <c r="M60" s="76">
        <v>0</v>
      </c>
      <c r="N60" s="76">
        <f t="shared" si="41"/>
        <v>0</v>
      </c>
      <c r="O60" s="175" t="str">
        <f t="shared" si="42"/>
        <v>-</v>
      </c>
      <c r="P60" s="205"/>
      <c r="Q60" s="213">
        <v>0</v>
      </c>
      <c r="R60" s="130">
        <v>0</v>
      </c>
      <c r="S60" s="130">
        <f t="shared" si="43"/>
        <v>0</v>
      </c>
      <c r="T60" s="220" t="str">
        <f t="shared" si="44"/>
        <v>-</v>
      </c>
      <c r="U60" s="205"/>
      <c r="V60" s="181">
        <f t="shared" si="45"/>
        <v>145267.91</v>
      </c>
      <c r="W60" s="76">
        <f t="shared" si="45"/>
        <v>139483.50999999995</v>
      </c>
      <c r="X60" s="76">
        <f t="shared" si="46"/>
        <v>5784.4000000000524</v>
      </c>
      <c r="Y60" s="175">
        <f t="shared" si="36"/>
        <v>3.9818842303162842E-2</v>
      </c>
      <c r="Z60" s="205"/>
      <c r="AA60" s="181">
        <f>'PSPF Income Statement '!AA60+'ADB Income Statement'!AA60+'HAA Income Statement'!AA60+'ACC Income Statement'!AA60+'ATB Income Statement'!AA61+'AFSC Income Statement'!AA60+'ANT Income Statement'!AA60+'WCA Income Statement'!AA60+'AASPA Income Statement'!AA60</f>
        <v>296407.91000000003</v>
      </c>
      <c r="AB60" s="76">
        <f t="shared" si="47"/>
        <v>156924.40000000008</v>
      </c>
      <c r="AC60" s="175">
        <f t="shared" si="38"/>
        <v>0.52942041931337147</v>
      </c>
      <c r="AD60" s="163"/>
      <c r="AE60" s="78"/>
    </row>
    <row r="61" spans="1:31" ht="15.75" x14ac:dyDescent="0.25">
      <c r="A61" s="145" t="s">
        <v>65</v>
      </c>
      <c r="B61" s="181">
        <f>'PSPF Income Statement '!B61+'ADB Income Statement'!B61+'HAA Income Statement'!B61+'ATB Income Statement'!B62+'ACC Income Statement'!B61+'AFSC Income Statement'!B61+'ANT Income Statement'!B61+'WCA Income Statement'!B61+'AASPA Income Statement'!B61</f>
        <v>2364853.9900000002</v>
      </c>
      <c r="C61" s="76">
        <f>'PSPF Income Statement '!C61+'ADB Income Statement'!C61+'HAA Income Statement'!C61+'ATB Income Statement'!C62+'ACC Income Statement'!C61+'AFSC Income Statement'!C61+'ANT Income Statement'!C61+'WCA Income Statement'!C61+'AASPA Income Statement'!C61</f>
        <v>2359506.5699999998</v>
      </c>
      <c r="D61" s="76">
        <f t="shared" si="39"/>
        <v>5347.4200000003912</v>
      </c>
      <c r="E61" s="175">
        <f t="shared" si="27"/>
        <v>2.261205141041452E-3</v>
      </c>
      <c r="F61" s="205"/>
      <c r="G61" s="213">
        <f>'PSPF Income Statement '!G61+'ADB Income Statement'!G61+'HAA Income Statement'!G61+'ATB Income Statement'!G62+'ACC Income Statement'!G61+'AFSC Income Statement'!G61+'ANT Income Statement'!G61+'WCA Income Statement'!G61+'AASPA Income Statement'!G61</f>
        <v>1894104.77</v>
      </c>
      <c r="H61" s="130">
        <f>'PSPF Income Statement '!H61+'ADB Income Statement'!H61+'HAA Income Statement'!H61+'ATB Income Statement'!H62+'ACC Income Statement'!H61+'AFSC Income Statement'!H61+'ANT Income Statement'!H61+'WCA Income Statement'!H61+'AASPA Income Statement'!H61</f>
        <v>1981391.9399999997</v>
      </c>
      <c r="I61" s="130">
        <f t="shared" si="40"/>
        <v>-87287.169999999693</v>
      </c>
      <c r="J61" s="220">
        <f t="shared" si="29"/>
        <v>-4.6083601806250499E-2</v>
      </c>
      <c r="K61" s="205"/>
      <c r="L61" s="181">
        <v>0</v>
      </c>
      <c r="M61" s="76">
        <v>0</v>
      </c>
      <c r="N61" s="76">
        <f t="shared" si="41"/>
        <v>0</v>
      </c>
      <c r="O61" s="175" t="str">
        <f t="shared" si="42"/>
        <v>-</v>
      </c>
      <c r="P61" s="205"/>
      <c r="Q61" s="213">
        <v>0</v>
      </c>
      <c r="R61" s="130">
        <v>0</v>
      </c>
      <c r="S61" s="130">
        <f t="shared" si="43"/>
        <v>0</v>
      </c>
      <c r="T61" s="220" t="str">
        <f t="shared" si="44"/>
        <v>-</v>
      </c>
      <c r="U61" s="205"/>
      <c r="V61" s="181">
        <f t="shared" si="45"/>
        <v>4258958.76</v>
      </c>
      <c r="W61" s="76">
        <f t="shared" si="45"/>
        <v>4340898.51</v>
      </c>
      <c r="X61" s="76">
        <f t="shared" si="46"/>
        <v>-81939.75</v>
      </c>
      <c r="Y61" s="175">
        <f t="shared" si="36"/>
        <v>-1.9239385638005098E-2</v>
      </c>
      <c r="Z61" s="205"/>
      <c r="AA61" s="181">
        <f>'PSPF Income Statement '!AA61+'ADB Income Statement'!AA61+'HAA Income Statement'!AA61+'ACC Income Statement'!AA61+'ATB Income Statement'!AA62+'AFSC Income Statement'!AA61+'ANT Income Statement'!AA61+'WCA Income Statement'!AA61+'AASPA Income Statement'!AA61</f>
        <v>7401976.8799999999</v>
      </c>
      <c r="AB61" s="76">
        <f t="shared" si="47"/>
        <v>3061078.37</v>
      </c>
      <c r="AC61" s="175">
        <f t="shared" si="38"/>
        <v>0.41354876131415319</v>
      </c>
      <c r="AD61" s="163"/>
      <c r="AE61" s="78"/>
    </row>
    <row r="62" spans="1:31" ht="15.75" x14ac:dyDescent="0.25">
      <c r="A62" s="145" t="s">
        <v>66</v>
      </c>
      <c r="B62" s="181">
        <f>'PSPF Income Statement '!B62+'ADB Income Statement'!B62+'HAA Income Statement'!B62+'ATB Income Statement'!B63+'ACC Income Statement'!B62+'AFSC Income Statement'!B62+'ANT Income Statement'!B62+'WCA Income Statement'!B62+'AASPA Income Statement'!B62</f>
        <v>301142.23</v>
      </c>
      <c r="C62" s="76">
        <f>'PSPF Income Statement '!C62+'ADB Income Statement'!C62+'HAA Income Statement'!C62+'ATB Income Statement'!C63+'ACC Income Statement'!C62+'AFSC Income Statement'!C62+'ANT Income Statement'!C62+'WCA Income Statement'!C62+'AASPA Income Statement'!C62</f>
        <v>6676.71</v>
      </c>
      <c r="D62" s="76">
        <f t="shared" si="39"/>
        <v>294465.51999999996</v>
      </c>
      <c r="E62" s="175">
        <f t="shared" si="27"/>
        <v>0.9778287156869363</v>
      </c>
      <c r="F62" s="207"/>
      <c r="G62" s="213">
        <f>'PSPF Income Statement '!G62+'ADB Income Statement'!G62+'HAA Income Statement'!G62+'ATB Income Statement'!G63+'ACC Income Statement'!G62+'AFSC Income Statement'!G62+'ANT Income Statement'!G62+'WCA Income Statement'!G62+'AASPA Income Statement'!G62</f>
        <v>291970.23</v>
      </c>
      <c r="H62" s="130">
        <f>'PSPF Income Statement '!H62+'ADB Income Statement'!H62+'HAA Income Statement'!H62+'ATB Income Statement'!H63+'ACC Income Statement'!H62+'AFSC Income Statement'!H62+'ANT Income Statement'!H62+'WCA Income Statement'!H62+'AASPA Income Statement'!H62</f>
        <v>97649.049999999988</v>
      </c>
      <c r="I62" s="130">
        <f t="shared" si="40"/>
        <v>194321.18</v>
      </c>
      <c r="J62" s="220">
        <f t="shared" si="29"/>
        <v>0.66555134747813161</v>
      </c>
      <c r="K62" s="207"/>
      <c r="L62" s="181">
        <v>0</v>
      </c>
      <c r="M62" s="76">
        <v>0</v>
      </c>
      <c r="N62" s="76">
        <f t="shared" si="41"/>
        <v>0</v>
      </c>
      <c r="O62" s="175" t="str">
        <f t="shared" si="42"/>
        <v>-</v>
      </c>
      <c r="P62" s="207"/>
      <c r="Q62" s="213">
        <v>0</v>
      </c>
      <c r="R62" s="130">
        <v>0</v>
      </c>
      <c r="S62" s="130">
        <f t="shared" si="43"/>
        <v>0</v>
      </c>
      <c r="T62" s="220" t="str">
        <f t="shared" si="44"/>
        <v>-</v>
      </c>
      <c r="U62" s="207"/>
      <c r="V62" s="181">
        <f t="shared" si="45"/>
        <v>593112.46</v>
      </c>
      <c r="W62" s="76">
        <f t="shared" si="45"/>
        <v>104325.75999999999</v>
      </c>
      <c r="X62" s="76">
        <f t="shared" si="46"/>
        <v>488786.69999999995</v>
      </c>
      <c r="Y62" s="175">
        <f t="shared" si="36"/>
        <v>0.82410458886667126</v>
      </c>
      <c r="Z62" s="207"/>
      <c r="AA62" s="181">
        <f>'PSPF Income Statement '!AA62+'ADB Income Statement'!AA62+'HAA Income Statement'!AA62+'ACC Income Statement'!AA62+'ATB Income Statement'!AA63+'AFSC Income Statement'!AA62+'ANT Income Statement'!AA62+'WCA Income Statement'!AA62+'AASPA Income Statement'!AA62</f>
        <v>1150251.92</v>
      </c>
      <c r="AB62" s="76">
        <f t="shared" si="47"/>
        <v>1045926.1599999999</v>
      </c>
      <c r="AC62" s="175">
        <f t="shared" si="38"/>
        <v>0.90930181624908746</v>
      </c>
      <c r="AD62" s="165"/>
      <c r="AE62" s="78"/>
    </row>
    <row r="63" spans="1:31" ht="15.75" x14ac:dyDescent="0.25">
      <c r="A63" s="145" t="s">
        <v>67</v>
      </c>
      <c r="B63" s="181">
        <f>'PSPF Income Statement '!B63+'ADB Income Statement'!B63+'HAA Income Statement'!B63+'ATB Income Statement'!B64+'ACC Income Statement'!B63+'AFSC Income Statement'!B63+'ANT Income Statement'!B63+'WCA Income Statement'!B63+'AASPA Income Statement'!B63</f>
        <v>2089750</v>
      </c>
      <c r="C63" s="76">
        <f>'PSPF Income Statement '!C63+'ADB Income Statement'!C63+'HAA Income Statement'!C63+'ATB Income Statement'!C64+'ACC Income Statement'!C63+'AFSC Income Statement'!C63+'ANT Income Statement'!C63+'WCA Income Statement'!C63+'AASPA Income Statement'!C63</f>
        <v>2012586.1800000002</v>
      </c>
      <c r="D63" s="76">
        <f t="shared" si="39"/>
        <v>77163.819999999832</v>
      </c>
      <c r="E63" s="175">
        <f t="shared" si="27"/>
        <v>3.6924904892929697E-2</v>
      </c>
      <c r="F63" s="207"/>
      <c r="G63" s="213">
        <f>'PSPF Income Statement '!G63+'ADB Income Statement'!G63+'HAA Income Statement'!G63+'ATB Income Statement'!G64+'ACC Income Statement'!G63+'AFSC Income Statement'!G63+'ANT Income Statement'!G63+'WCA Income Statement'!G63+'AASPA Income Statement'!G63</f>
        <v>2089750</v>
      </c>
      <c r="H63" s="130">
        <f>'PSPF Income Statement '!H63+'ADB Income Statement'!H63+'HAA Income Statement'!H63+'ATB Income Statement'!H64+'ACC Income Statement'!H63+'AFSC Income Statement'!H63+'ANT Income Statement'!H63+'WCA Income Statement'!H63+'AASPA Income Statement'!H63</f>
        <v>1818162.91</v>
      </c>
      <c r="I63" s="130">
        <f t="shared" si="40"/>
        <v>271587.09000000008</v>
      </c>
      <c r="J63" s="220">
        <f t="shared" si="29"/>
        <v>0.12996152171312361</v>
      </c>
      <c r="K63" s="207"/>
      <c r="L63" s="181">
        <v>0</v>
      </c>
      <c r="M63" s="76">
        <v>0</v>
      </c>
      <c r="N63" s="76">
        <f t="shared" si="41"/>
        <v>0</v>
      </c>
      <c r="O63" s="176" t="str">
        <f t="shared" si="42"/>
        <v>-</v>
      </c>
      <c r="P63" s="207"/>
      <c r="Q63" s="213">
        <v>0</v>
      </c>
      <c r="R63" s="130">
        <v>0</v>
      </c>
      <c r="S63" s="130">
        <f t="shared" si="43"/>
        <v>0</v>
      </c>
      <c r="T63" s="214" t="str">
        <f t="shared" si="44"/>
        <v>-</v>
      </c>
      <c r="U63" s="207"/>
      <c r="V63" s="181">
        <f t="shared" si="45"/>
        <v>4179500</v>
      </c>
      <c r="W63" s="76">
        <f t="shared" si="45"/>
        <v>3830749.09</v>
      </c>
      <c r="X63" s="76">
        <f t="shared" si="46"/>
        <v>348750.91000000015</v>
      </c>
      <c r="Y63" s="175">
        <f t="shared" si="36"/>
        <v>8.3443213303026717E-2</v>
      </c>
      <c r="Z63" s="207"/>
      <c r="AA63" s="181">
        <f>'PSPF Income Statement '!AA63+'ADB Income Statement'!AA63+'HAA Income Statement'!AA63+'ACC Income Statement'!AA63+'ATB Income Statement'!AA64+'AFSC Income Statement'!AA63+'ANT Income Statement'!AA63+'WCA Income Statement'!AA63+'AASPA Income Statement'!AA63</f>
        <v>8359000</v>
      </c>
      <c r="AB63" s="76">
        <f t="shared" si="47"/>
        <v>4528250.91</v>
      </c>
      <c r="AC63" s="175">
        <f t="shared" si="38"/>
        <v>0.54172160665151337</v>
      </c>
      <c r="AD63" s="165"/>
      <c r="AE63" s="77"/>
    </row>
    <row r="64" spans="1:31" ht="15.75" x14ac:dyDescent="0.25">
      <c r="A64" s="145" t="s">
        <v>68</v>
      </c>
      <c r="B64" s="181">
        <f>'PSPF Income Statement '!B64+'ADB Income Statement'!B64+'HAA Income Statement'!B64+'ATB Income Statement'!B65+'ACC Income Statement'!B64+'AFSC Income Statement'!B64+'ANT Income Statement'!B64+'WCA Income Statement'!B64+'AASPA Income Statement'!B64</f>
        <v>561916.9</v>
      </c>
      <c r="C64" s="76">
        <f>'PSPF Income Statement '!C64+'ADB Income Statement'!C64+'HAA Income Statement'!C64+'ATB Income Statement'!C65+'ACC Income Statement'!C64+'AFSC Income Statement'!C64+'ANT Income Statement'!C64+'WCA Income Statement'!C64+'AASPA Income Statement'!C64</f>
        <v>1060268.3800000001</v>
      </c>
      <c r="D64" s="76">
        <f t="shared" si="39"/>
        <v>-498351.4800000001</v>
      </c>
      <c r="E64" s="175">
        <f t="shared" si="27"/>
        <v>-0.88687754363679061</v>
      </c>
      <c r="F64" s="207"/>
      <c r="G64" s="213">
        <f>'PSPF Income Statement '!G64+'ADB Income Statement'!G64+'HAA Income Statement'!G64+'ATB Income Statement'!G65+'ACC Income Statement'!G64+'AFSC Income Statement'!G64+'ANT Income Statement'!G64+'WCA Income Statement'!G64+'AASPA Income Statement'!G64</f>
        <v>604921.07999999996</v>
      </c>
      <c r="H64" s="130">
        <f>'PSPF Income Statement '!H64+'ADB Income Statement'!H64+'HAA Income Statement'!H64+'ATB Income Statement'!H65+'ACC Income Statement'!H64+'AFSC Income Statement'!H64+'ANT Income Statement'!H64+'WCA Income Statement'!H64+'AASPA Income Statement'!H64</f>
        <v>855452.05</v>
      </c>
      <c r="I64" s="130">
        <f t="shared" si="40"/>
        <v>-250530.97000000009</v>
      </c>
      <c r="J64" s="220">
        <f t="shared" si="29"/>
        <v>-0.41415480181315573</v>
      </c>
      <c r="K64" s="207"/>
      <c r="L64" s="181">
        <v>0</v>
      </c>
      <c r="M64" s="76">
        <v>0</v>
      </c>
      <c r="N64" s="76">
        <f t="shared" si="41"/>
        <v>0</v>
      </c>
      <c r="O64" s="175" t="str">
        <f t="shared" si="42"/>
        <v>-</v>
      </c>
      <c r="P64" s="207"/>
      <c r="Q64" s="213">
        <v>0</v>
      </c>
      <c r="R64" s="130">
        <v>0</v>
      </c>
      <c r="S64" s="130">
        <f t="shared" si="43"/>
        <v>0</v>
      </c>
      <c r="T64" s="220" t="str">
        <f t="shared" si="44"/>
        <v>-</v>
      </c>
      <c r="U64" s="207"/>
      <c r="V64" s="181">
        <f t="shared" si="45"/>
        <v>1166837.98</v>
      </c>
      <c r="W64" s="76">
        <f t="shared" si="45"/>
        <v>1915720.4300000002</v>
      </c>
      <c r="X64" s="76">
        <f t="shared" si="46"/>
        <v>-748882.45000000019</v>
      </c>
      <c r="Y64" s="175">
        <f t="shared" si="36"/>
        <v>-0.64180500021091202</v>
      </c>
      <c r="Z64" s="207"/>
      <c r="AA64" s="181">
        <f>'PSPF Income Statement '!AA64+'ADB Income Statement'!AA64+'HAA Income Statement'!AA64+'ACC Income Statement'!AA64+'ATB Income Statement'!AA65+'AFSC Income Statement'!AA64+'ANT Income Statement'!AA64+'WCA Income Statement'!AA64+'AASPA Income Statement'!AA64</f>
        <v>2098056.98</v>
      </c>
      <c r="AB64" s="76">
        <f t="shared" si="47"/>
        <v>182336.54999999981</v>
      </c>
      <c r="AC64" s="175">
        <f t="shared" si="38"/>
        <v>8.6907339380267845E-2</v>
      </c>
      <c r="AD64" s="165"/>
      <c r="AE64" s="78"/>
    </row>
    <row r="65" spans="1:31" ht="15.75" x14ac:dyDescent="0.25">
      <c r="A65" s="145" t="s">
        <v>69</v>
      </c>
      <c r="B65" s="181">
        <f>'PSPF Income Statement '!B65+'ADB Income Statement'!B65+'HAA Income Statement'!B65+'ATB Income Statement'!B66+'ACC Income Statement'!B65+'AFSC Income Statement'!B65+'ANT Income Statement'!B65+'WCA Income Statement'!B65+'AASPA Income Statement'!B65</f>
        <v>11850</v>
      </c>
      <c r="C65" s="76">
        <f>'PSPF Income Statement '!C65+'ADB Income Statement'!C65+'HAA Income Statement'!C65+'ATB Income Statement'!C66+'ACC Income Statement'!C65+'AFSC Income Statement'!C65+'ANT Income Statement'!C65+'WCA Income Statement'!C65+'AASPA Income Statement'!C65</f>
        <v>102259.12000000001</v>
      </c>
      <c r="D65" s="76">
        <f t="shared" si="39"/>
        <v>-90409.12000000001</v>
      </c>
      <c r="E65" s="175">
        <f t="shared" si="27"/>
        <v>-7.6294616033755283</v>
      </c>
      <c r="F65" s="205"/>
      <c r="G65" s="213">
        <f>'PSPF Income Statement '!G65+'ADB Income Statement'!G65+'HAA Income Statement'!G65+'ATB Income Statement'!G66+'ACC Income Statement'!G65+'AFSC Income Statement'!G65+'ANT Income Statement'!G65+'WCA Income Statement'!G65+'AASPA Income Statement'!G65</f>
        <v>79592.639999999999</v>
      </c>
      <c r="H65" s="130">
        <f>'PSPF Income Statement '!H65+'ADB Income Statement'!H65+'HAA Income Statement'!H65+'ATB Income Statement'!H66+'ACC Income Statement'!H65+'AFSC Income Statement'!H65+'ANT Income Statement'!H65+'WCA Income Statement'!H65+'AASPA Income Statement'!H65</f>
        <v>112897.84</v>
      </c>
      <c r="I65" s="130">
        <f t="shared" si="40"/>
        <v>-33305.199999999997</v>
      </c>
      <c r="J65" s="220">
        <f t="shared" si="29"/>
        <v>-0.41844572563493304</v>
      </c>
      <c r="K65" s="205"/>
      <c r="L65" s="181">
        <v>0</v>
      </c>
      <c r="M65" s="76">
        <v>0</v>
      </c>
      <c r="N65" s="76">
        <f t="shared" si="41"/>
        <v>0</v>
      </c>
      <c r="O65" s="176" t="str">
        <f t="shared" si="42"/>
        <v>-</v>
      </c>
      <c r="P65" s="205"/>
      <c r="Q65" s="213">
        <v>0</v>
      </c>
      <c r="R65" s="130">
        <v>0</v>
      </c>
      <c r="S65" s="130">
        <f t="shared" si="43"/>
        <v>0</v>
      </c>
      <c r="T65" s="214" t="str">
        <f t="shared" si="44"/>
        <v>-</v>
      </c>
      <c r="U65" s="205"/>
      <c r="V65" s="181">
        <f t="shared" si="45"/>
        <v>91442.64</v>
      </c>
      <c r="W65" s="76">
        <f t="shared" si="45"/>
        <v>215156.96000000002</v>
      </c>
      <c r="X65" s="76">
        <f t="shared" si="46"/>
        <v>-123714.32000000002</v>
      </c>
      <c r="Y65" s="175">
        <f t="shared" si="36"/>
        <v>-1.3529171948666401</v>
      </c>
      <c r="Z65" s="205"/>
      <c r="AA65" s="181">
        <f>'PSPF Income Statement '!AA65+'ADB Income Statement'!AA65+'HAA Income Statement'!AA65+'ACC Income Statement'!AA65+'ATB Income Statement'!AA66+'AFSC Income Statement'!AA65+'ANT Income Statement'!AA65+'WCA Income Statement'!AA65+'AASPA Income Statement'!AA65</f>
        <v>115142.64</v>
      </c>
      <c r="AB65" s="76">
        <f t="shared" si="47"/>
        <v>-100014.32000000002</v>
      </c>
      <c r="AC65" s="175">
        <f t="shared" si="38"/>
        <v>-0.86861235768087319</v>
      </c>
      <c r="AD65" s="163"/>
      <c r="AE65" s="77"/>
    </row>
    <row r="66" spans="1:31" ht="15.75" x14ac:dyDescent="0.25">
      <c r="A66" s="145" t="s">
        <v>70</v>
      </c>
      <c r="B66" s="181">
        <f>'PSPF Income Statement '!B66+'ADB Income Statement'!B66+'HAA Income Statement'!B66+'ATB Income Statement'!B67+'ACC Income Statement'!B66+'AFSC Income Statement'!B66+'ANT Income Statement'!B66+'WCA Income Statement'!B66+'AASPA Income Statement'!B66</f>
        <v>180825</v>
      </c>
      <c r="C66" s="76">
        <f>'PSPF Income Statement '!C66+'ADB Income Statement'!C66+'HAA Income Statement'!C66+'ATB Income Statement'!C67+'ACC Income Statement'!C66+'AFSC Income Statement'!C66+'ANT Income Statement'!C66+'WCA Income Statement'!C66+'AASPA Income Statement'!C66</f>
        <v>180454.2</v>
      </c>
      <c r="D66" s="76">
        <f t="shared" si="39"/>
        <v>370.79999999998836</v>
      </c>
      <c r="E66" s="175">
        <f t="shared" si="27"/>
        <v>2.0506014102031709E-3</v>
      </c>
      <c r="F66" s="207"/>
      <c r="G66" s="213">
        <f>'PSPF Income Statement '!G66+'ADB Income Statement'!G66+'HAA Income Statement'!G66+'ATB Income Statement'!G67+'ACC Income Statement'!G66+'AFSC Income Statement'!G66+'ANT Income Statement'!G66+'WCA Income Statement'!G66+'AASPA Income Statement'!G66</f>
        <v>176625</v>
      </c>
      <c r="H66" s="130">
        <f>'PSPF Income Statement '!H66+'ADB Income Statement'!H66+'HAA Income Statement'!H66+'ATB Income Statement'!H67+'ACC Income Statement'!H66+'AFSC Income Statement'!H66+'ANT Income Statement'!H66+'WCA Income Statement'!H66+'AASPA Income Statement'!H66</f>
        <v>180207.98</v>
      </c>
      <c r="I66" s="130">
        <f t="shared" si="40"/>
        <v>-3582.9800000000105</v>
      </c>
      <c r="J66" s="220">
        <f t="shared" si="29"/>
        <v>-2.0285803255484843E-2</v>
      </c>
      <c r="K66" s="207"/>
      <c r="L66" s="181">
        <v>0</v>
      </c>
      <c r="M66" s="76">
        <v>0</v>
      </c>
      <c r="N66" s="76">
        <f t="shared" si="41"/>
        <v>0</v>
      </c>
      <c r="O66" s="176" t="str">
        <f t="shared" si="42"/>
        <v>-</v>
      </c>
      <c r="P66" s="207"/>
      <c r="Q66" s="213">
        <v>0</v>
      </c>
      <c r="R66" s="130">
        <v>0</v>
      </c>
      <c r="S66" s="130">
        <f t="shared" si="43"/>
        <v>0</v>
      </c>
      <c r="T66" s="214" t="str">
        <f t="shared" si="44"/>
        <v>-</v>
      </c>
      <c r="U66" s="207"/>
      <c r="V66" s="181">
        <f t="shared" si="45"/>
        <v>357450</v>
      </c>
      <c r="W66" s="76">
        <f t="shared" si="45"/>
        <v>360662.18000000005</v>
      </c>
      <c r="X66" s="76">
        <f t="shared" si="46"/>
        <v>-3212.1800000000512</v>
      </c>
      <c r="Y66" s="175">
        <f t="shared" si="36"/>
        <v>-8.9863757168836232E-3</v>
      </c>
      <c r="Z66" s="207"/>
      <c r="AA66" s="181">
        <f>'PSPF Income Statement '!AA66+'ADB Income Statement'!AA66+'HAA Income Statement'!AA66+'ACC Income Statement'!AA66+'ATB Income Statement'!AA67+'AFSC Income Statement'!AA66+'ANT Income Statement'!AA66+'WCA Income Statement'!AA66+'AASPA Income Statement'!AA66</f>
        <v>711822.2</v>
      </c>
      <c r="AB66" s="76">
        <f t="shared" si="47"/>
        <v>351160.0199999999</v>
      </c>
      <c r="AC66" s="175">
        <f t="shared" si="38"/>
        <v>0.49332546807334743</v>
      </c>
      <c r="AD66" s="165"/>
      <c r="AE66" s="77"/>
    </row>
    <row r="67" spans="1:31" ht="15.75" x14ac:dyDescent="0.25">
      <c r="A67" s="145" t="s">
        <v>71</v>
      </c>
      <c r="B67" s="181">
        <f>'PSPF Income Statement '!B67+'ADB Income Statement'!B67+'HAA Income Statement'!B67+'ATB Income Statement'!B68+'ACC Income Statement'!B67+'AFSC Income Statement'!B67+'ANT Income Statement'!B67+'WCA Income Statement'!B67+'AASPA Income Statement'!B67</f>
        <v>56628</v>
      </c>
      <c r="C67" s="76">
        <f>'PSPF Income Statement '!C67+'ADB Income Statement'!C67+'HAA Income Statement'!C67+'ATB Income Statement'!C68+'ACC Income Statement'!C67+'AFSC Income Statement'!C67+'ANT Income Statement'!C67+'WCA Income Statement'!C67+'AASPA Income Statement'!C67</f>
        <v>57299.950000000004</v>
      </c>
      <c r="D67" s="76">
        <f t="shared" si="39"/>
        <v>-671.95000000000437</v>
      </c>
      <c r="E67" s="175">
        <f t="shared" si="27"/>
        <v>-1.1866038002401717E-2</v>
      </c>
      <c r="F67" s="207"/>
      <c r="G67" s="213">
        <f>'PSPF Income Statement '!G67+'ADB Income Statement'!G67+'HAA Income Statement'!G67+'ATB Income Statement'!G68+'ACC Income Statement'!G67+'AFSC Income Statement'!G67+'ANT Income Statement'!G67+'WCA Income Statement'!G67+'AASPA Income Statement'!G67</f>
        <v>0</v>
      </c>
      <c r="H67" s="130">
        <f>'PSPF Income Statement '!H67+'ADB Income Statement'!H67+'HAA Income Statement'!H67+'ATB Income Statement'!H68+'ACC Income Statement'!H67+'AFSC Income Statement'!H67+'ANT Income Statement'!H67+'WCA Income Statement'!H67+'AASPA Income Statement'!H67</f>
        <v>0</v>
      </c>
      <c r="I67" s="130">
        <f t="shared" si="40"/>
        <v>0</v>
      </c>
      <c r="J67" s="220" t="str">
        <f t="shared" si="29"/>
        <v>-</v>
      </c>
      <c r="K67" s="207"/>
      <c r="L67" s="181">
        <v>0</v>
      </c>
      <c r="M67" s="76">
        <v>0</v>
      </c>
      <c r="N67" s="76">
        <f t="shared" si="41"/>
        <v>0</v>
      </c>
      <c r="O67" s="175" t="str">
        <f t="shared" si="42"/>
        <v>-</v>
      </c>
      <c r="P67" s="207"/>
      <c r="Q67" s="213">
        <v>0</v>
      </c>
      <c r="R67" s="130">
        <v>0</v>
      </c>
      <c r="S67" s="130">
        <f t="shared" si="43"/>
        <v>0</v>
      </c>
      <c r="T67" s="220" t="str">
        <f t="shared" si="44"/>
        <v>-</v>
      </c>
      <c r="U67" s="207"/>
      <c r="V67" s="181">
        <f t="shared" si="45"/>
        <v>56628</v>
      </c>
      <c r="W67" s="76">
        <f t="shared" si="45"/>
        <v>57299.950000000004</v>
      </c>
      <c r="X67" s="76">
        <f t="shared" si="46"/>
        <v>-671.95000000000437</v>
      </c>
      <c r="Y67" s="175">
        <f t="shared" si="36"/>
        <v>-1.1866038002401717E-2</v>
      </c>
      <c r="Z67" s="207"/>
      <c r="AA67" s="181">
        <f>'PSPF Income Statement '!AA67+'ADB Income Statement'!AA67+'HAA Income Statement'!AA67+'ACC Income Statement'!AA67+'ATB Income Statement'!AA68+'AFSC Income Statement'!AA67+'ANT Income Statement'!AA67+'WCA Income Statement'!AA67+'AASPA Income Statement'!AA67</f>
        <v>56628</v>
      </c>
      <c r="AB67" s="76">
        <f t="shared" si="47"/>
        <v>-671.95000000000437</v>
      </c>
      <c r="AC67" s="175">
        <f t="shared" si="38"/>
        <v>-1.1866038002401717E-2</v>
      </c>
      <c r="AD67" s="165"/>
      <c r="AE67" s="78"/>
    </row>
    <row r="68" spans="1:31" ht="15.75" x14ac:dyDescent="0.25">
      <c r="A68" s="145" t="s">
        <v>72</v>
      </c>
      <c r="B68" s="181">
        <f>'PSPF Income Statement '!B68+'ADB Income Statement'!B68+'HAA Income Statement'!B68+'ATB Income Statement'!B69+'ACC Income Statement'!B68+'AFSC Income Statement'!B68+'ANT Income Statement'!B68+'WCA Income Statement'!B68+'AASPA Income Statement'!B68</f>
        <v>151468</v>
      </c>
      <c r="C68" s="76">
        <f>'PSPF Income Statement '!C68+'ADB Income Statement'!C68+'HAA Income Statement'!C68+'ATB Income Statement'!C69+'ACC Income Statement'!C68+'AFSC Income Statement'!C68+'ANT Income Statement'!C68+'WCA Income Statement'!C68+'AASPA Income Statement'!C68</f>
        <v>302098.58999999997</v>
      </c>
      <c r="D68" s="76">
        <f t="shared" si="39"/>
        <v>-150630.58999999997</v>
      </c>
      <c r="E68" s="175">
        <f t="shared" si="27"/>
        <v>-0.99447137349143033</v>
      </c>
      <c r="F68" s="205"/>
      <c r="G68" s="213">
        <f>'PSPF Income Statement '!G68+'ADB Income Statement'!G68+'HAA Income Statement'!G68+'ATB Income Statement'!G69+'ACC Income Statement'!G68+'AFSC Income Statement'!G68+'ANT Income Statement'!G68+'WCA Income Statement'!G68+'AASPA Income Statement'!G68</f>
        <v>115546.45999999999</v>
      </c>
      <c r="H68" s="130">
        <f>'PSPF Income Statement '!H68+'ADB Income Statement'!H68+'HAA Income Statement'!H68+'ATB Income Statement'!H69+'ACC Income Statement'!H68+'AFSC Income Statement'!H68+'ANT Income Statement'!H68+'WCA Income Statement'!H68+'AASPA Income Statement'!H68</f>
        <v>97908.09</v>
      </c>
      <c r="I68" s="130">
        <f t="shared" si="40"/>
        <v>17638.369999999995</v>
      </c>
      <c r="J68" s="220">
        <f t="shared" si="29"/>
        <v>0.15265175583916632</v>
      </c>
      <c r="K68" s="205"/>
      <c r="L68" s="181">
        <v>0</v>
      </c>
      <c r="M68" s="76">
        <v>0</v>
      </c>
      <c r="N68" s="76">
        <f t="shared" si="41"/>
        <v>0</v>
      </c>
      <c r="O68" s="175" t="str">
        <f t="shared" si="42"/>
        <v>-</v>
      </c>
      <c r="P68" s="205"/>
      <c r="Q68" s="213">
        <v>0</v>
      </c>
      <c r="R68" s="130">
        <v>0</v>
      </c>
      <c r="S68" s="130">
        <f t="shared" si="43"/>
        <v>0</v>
      </c>
      <c r="T68" s="220" t="str">
        <f t="shared" si="44"/>
        <v>-</v>
      </c>
      <c r="U68" s="205"/>
      <c r="V68" s="181">
        <f t="shared" si="45"/>
        <v>267014.45999999996</v>
      </c>
      <c r="W68" s="76">
        <f t="shared" si="45"/>
        <v>400006.67999999993</v>
      </c>
      <c r="X68" s="76">
        <f t="shared" si="46"/>
        <v>-132992.21999999997</v>
      </c>
      <c r="Y68" s="175">
        <f t="shared" si="36"/>
        <v>-0.49807122805259307</v>
      </c>
      <c r="Z68" s="205"/>
      <c r="AA68" s="181">
        <f>'PSPF Income Statement '!AA68+'ADB Income Statement'!AA68+'HAA Income Statement'!AA68+'ACC Income Statement'!AA68+'ATB Income Statement'!AA69+'AFSC Income Statement'!AA68+'ANT Income Statement'!AA68+'WCA Income Statement'!AA68+'AASPA Income Statement'!AA68</f>
        <v>276346.8</v>
      </c>
      <c r="AB68" s="76">
        <f t="shared" si="47"/>
        <v>-123659.87999999995</v>
      </c>
      <c r="AC68" s="175">
        <f t="shared" si="38"/>
        <v>-0.44748077415768867</v>
      </c>
      <c r="AD68" s="163"/>
      <c r="AE68" s="78"/>
    </row>
    <row r="69" spans="1:31" ht="15.75" x14ac:dyDescent="0.25">
      <c r="A69" s="145" t="s">
        <v>73</v>
      </c>
      <c r="B69" s="181">
        <f>'PSPF Income Statement '!B69+'ADB Income Statement'!B69+'HAA Income Statement'!B69+'ATB Income Statement'!B70+'ACC Income Statement'!B69+'AFSC Income Statement'!B69+'ANT Income Statement'!B69+'WCA Income Statement'!B69+'AASPA Income Statement'!B69</f>
        <v>5358.49</v>
      </c>
      <c r="C69" s="76">
        <f>'PSPF Income Statement '!C69+'ADB Income Statement'!C69+'HAA Income Statement'!C69+'ATB Income Statement'!C70+'ACC Income Statement'!C69+'AFSC Income Statement'!C69+'ANT Income Statement'!C69+'WCA Income Statement'!C69+'AASPA Income Statement'!C69</f>
        <v>1171</v>
      </c>
      <c r="D69" s="76">
        <f t="shared" si="39"/>
        <v>4187.49</v>
      </c>
      <c r="E69" s="175">
        <f t="shared" si="27"/>
        <v>0.78146828677481905</v>
      </c>
      <c r="F69" s="207"/>
      <c r="G69" s="213">
        <f>'PSPF Income Statement '!G69+'ADB Income Statement'!G69+'HAA Income Statement'!G69+'ATB Income Statement'!G70+'ACC Income Statement'!G69+'AFSC Income Statement'!G69+'ANT Income Statement'!G69+'WCA Income Statement'!G69+'AASPA Income Statement'!G69</f>
        <v>4460.49</v>
      </c>
      <c r="H69" s="130">
        <f>'PSPF Income Statement '!H69+'ADB Income Statement'!H69+'HAA Income Statement'!H69+'ATB Income Statement'!H70+'ACC Income Statement'!H69+'AFSC Income Statement'!H69+'ANT Income Statement'!H69+'WCA Income Statement'!H69+'AASPA Income Statement'!H69</f>
        <v>0</v>
      </c>
      <c r="I69" s="130">
        <f t="shared" si="40"/>
        <v>4460.49</v>
      </c>
      <c r="J69" s="220">
        <f t="shared" si="29"/>
        <v>1</v>
      </c>
      <c r="K69" s="207"/>
      <c r="L69" s="181">
        <v>0</v>
      </c>
      <c r="M69" s="76">
        <v>0</v>
      </c>
      <c r="N69" s="76">
        <f t="shared" si="41"/>
        <v>0</v>
      </c>
      <c r="O69" s="175" t="str">
        <f t="shared" si="42"/>
        <v>-</v>
      </c>
      <c r="P69" s="207"/>
      <c r="Q69" s="213">
        <v>0</v>
      </c>
      <c r="R69" s="130">
        <v>0</v>
      </c>
      <c r="S69" s="130">
        <f t="shared" si="43"/>
        <v>0</v>
      </c>
      <c r="T69" s="220" t="str">
        <f t="shared" si="44"/>
        <v>-</v>
      </c>
      <c r="U69" s="207"/>
      <c r="V69" s="181">
        <f t="shared" si="45"/>
        <v>9818.98</v>
      </c>
      <c r="W69" s="76">
        <f t="shared" si="45"/>
        <v>1171</v>
      </c>
      <c r="X69" s="76">
        <f t="shared" si="46"/>
        <v>8647.98</v>
      </c>
      <c r="Y69" s="175">
        <f t="shared" si="36"/>
        <v>0.88074117678210972</v>
      </c>
      <c r="Z69" s="207"/>
      <c r="AA69" s="181">
        <f>'PSPF Income Statement '!AA69+'ADB Income Statement'!AA69+'HAA Income Statement'!AA69+'ACC Income Statement'!AA69+'ATB Income Statement'!AA70+'AFSC Income Statement'!AA69+'ANT Income Statement'!AA69+'WCA Income Statement'!AA69+'AASPA Income Statement'!AA69</f>
        <v>17193.96</v>
      </c>
      <c r="AB69" s="76">
        <f t="shared" si="47"/>
        <v>16022.96</v>
      </c>
      <c r="AC69" s="175">
        <f t="shared" si="38"/>
        <v>0.93189468859995017</v>
      </c>
      <c r="AD69" s="165"/>
      <c r="AE69" s="78"/>
    </row>
    <row r="70" spans="1:31" ht="15.75" x14ac:dyDescent="0.25">
      <c r="A70" s="145" t="s">
        <v>74</v>
      </c>
      <c r="B70" s="181">
        <f>'PSPF Income Statement '!B70+'ADB Income Statement'!B70+'HAA Income Statement'!B70+'ATB Income Statement'!B71+'ACC Income Statement'!B70+'AFSC Income Statement'!B70+'ANT Income Statement'!B70+'WCA Income Statement'!B70+'AASPA Income Statement'!B70</f>
        <v>1480</v>
      </c>
      <c r="C70" s="76">
        <f>'PSPF Income Statement '!C70+'ADB Income Statement'!C70+'HAA Income Statement'!C70+'ATB Income Statement'!C71+'ACC Income Statement'!C70+'AFSC Income Statement'!C70+'ANT Income Statement'!C70+'WCA Income Statement'!C70+'AASPA Income Statement'!C70</f>
        <v>1479.69</v>
      </c>
      <c r="D70" s="76">
        <f t="shared" si="39"/>
        <v>0.30999999999994543</v>
      </c>
      <c r="E70" s="175">
        <f t="shared" si="27"/>
        <v>2.0945945945942258E-4</v>
      </c>
      <c r="F70" s="205"/>
      <c r="G70" s="213">
        <f>'PSPF Income Statement '!G70+'ADB Income Statement'!G70+'HAA Income Statement'!G70+'ATB Income Statement'!G71+'ACC Income Statement'!G70+'AFSC Income Statement'!G70+'ANT Income Statement'!G70+'WCA Income Statement'!G70+'AASPA Income Statement'!G70</f>
        <v>26344</v>
      </c>
      <c r="H70" s="130">
        <f>'PSPF Income Statement '!H70+'ADB Income Statement'!H70+'HAA Income Statement'!H70+'ATB Income Statement'!H71+'ACC Income Statement'!H70+'AFSC Income Statement'!H70+'ANT Income Statement'!H70+'WCA Income Statement'!H70+'AASPA Income Statement'!H70</f>
        <v>40323</v>
      </c>
      <c r="I70" s="130">
        <f t="shared" si="40"/>
        <v>-13979</v>
      </c>
      <c r="J70" s="220">
        <f t="shared" si="29"/>
        <v>-0.5306331612511388</v>
      </c>
      <c r="K70" s="205"/>
      <c r="L70" s="181">
        <v>0</v>
      </c>
      <c r="M70" s="76">
        <v>0</v>
      </c>
      <c r="N70" s="76">
        <f t="shared" si="41"/>
        <v>0</v>
      </c>
      <c r="O70" s="175" t="str">
        <f t="shared" si="42"/>
        <v>-</v>
      </c>
      <c r="P70" s="205"/>
      <c r="Q70" s="213">
        <v>0</v>
      </c>
      <c r="R70" s="130">
        <v>0</v>
      </c>
      <c r="S70" s="130">
        <f t="shared" si="43"/>
        <v>0</v>
      </c>
      <c r="T70" s="220" t="str">
        <f t="shared" si="44"/>
        <v>-</v>
      </c>
      <c r="U70" s="205"/>
      <c r="V70" s="181">
        <f t="shared" si="45"/>
        <v>27824</v>
      </c>
      <c r="W70" s="76">
        <f t="shared" si="45"/>
        <v>41802.69</v>
      </c>
      <c r="X70" s="76">
        <f t="shared" si="46"/>
        <v>-13978.690000000002</v>
      </c>
      <c r="Y70" s="175">
        <f t="shared" si="36"/>
        <v>-0.50239685163887304</v>
      </c>
      <c r="Z70" s="205"/>
      <c r="AA70" s="181">
        <f>'PSPF Income Statement '!AA70+'ADB Income Statement'!AA70+'HAA Income Statement'!AA70+'ACC Income Statement'!AA70+'ATB Income Statement'!AA71+'AFSC Income Statement'!AA70+'ANT Income Statement'!AA70+'WCA Income Statement'!AA70+'AASPA Income Statement'!AA70</f>
        <v>86803</v>
      </c>
      <c r="AB70" s="76">
        <f t="shared" si="47"/>
        <v>45000.31</v>
      </c>
      <c r="AC70" s="175">
        <f t="shared" si="38"/>
        <v>0.51841883345045681</v>
      </c>
      <c r="AD70" s="163"/>
      <c r="AE70" s="78"/>
    </row>
    <row r="71" spans="1:31" ht="15.75" x14ac:dyDescent="0.25">
      <c r="A71" s="145" t="s">
        <v>75</v>
      </c>
      <c r="B71" s="181">
        <f>'PSPF Income Statement '!B71+'ADB Income Statement'!B71+'HAA Income Statement'!B71+'ATB Income Statement'!B72+'ACC Income Statement'!B71+'AFSC Income Statement'!B71+'ANT Income Statement'!B71+'WCA Income Statement'!B71+'AASPA Income Statement'!B71</f>
        <v>156274.97999999998</v>
      </c>
      <c r="C71" s="76">
        <f>'PSPF Income Statement '!C71+'ADB Income Statement'!C71+'HAA Income Statement'!C71+'ATB Income Statement'!C72+'ACC Income Statement'!C71+'AFSC Income Statement'!C71+'ANT Income Statement'!C71+'WCA Income Statement'!C71+'AASPA Income Statement'!C71</f>
        <v>137480.09</v>
      </c>
      <c r="D71" s="76">
        <f t="shared" si="39"/>
        <v>18794.889999999985</v>
      </c>
      <c r="E71" s="175">
        <f t="shared" si="27"/>
        <v>0.12026806850335214</v>
      </c>
      <c r="F71" s="207"/>
      <c r="G71" s="213">
        <f>'PSPF Income Statement '!G71+'ADB Income Statement'!G71+'HAA Income Statement'!G71+'ATB Income Statement'!G72+'ACC Income Statement'!G71+'AFSC Income Statement'!G71+'ANT Income Statement'!G71+'WCA Income Statement'!G71+'AASPA Income Statement'!G71</f>
        <v>158193</v>
      </c>
      <c r="H71" s="130">
        <f>'PSPF Income Statement '!H71+'ADB Income Statement'!H71+'HAA Income Statement'!H71+'ATB Income Statement'!H72+'ACC Income Statement'!H71+'AFSC Income Statement'!H71+'ANT Income Statement'!H71+'WCA Income Statement'!H71+'AASPA Income Statement'!H71</f>
        <v>28109.05</v>
      </c>
      <c r="I71" s="130">
        <f t="shared" si="40"/>
        <v>130083.95</v>
      </c>
      <c r="J71" s="220">
        <f t="shared" si="29"/>
        <v>0.82231166992218363</v>
      </c>
      <c r="K71" s="207"/>
      <c r="L71" s="181">
        <v>0</v>
      </c>
      <c r="M71" s="76">
        <v>0</v>
      </c>
      <c r="N71" s="76">
        <f t="shared" si="41"/>
        <v>0</v>
      </c>
      <c r="O71" s="175"/>
      <c r="P71" s="207"/>
      <c r="Q71" s="213">
        <v>0</v>
      </c>
      <c r="R71" s="130">
        <v>0</v>
      </c>
      <c r="S71" s="130">
        <f t="shared" si="43"/>
        <v>0</v>
      </c>
      <c r="T71" s="220"/>
      <c r="U71" s="207"/>
      <c r="V71" s="181">
        <f t="shared" si="45"/>
        <v>314467.98</v>
      </c>
      <c r="W71" s="76">
        <f t="shared" si="45"/>
        <v>165589.13999999998</v>
      </c>
      <c r="X71" s="76">
        <f t="shared" si="46"/>
        <v>148878.84</v>
      </c>
      <c r="Y71" s="175">
        <f t="shared" si="36"/>
        <v>0.47343084024007787</v>
      </c>
      <c r="Z71" s="207"/>
      <c r="AA71" s="181">
        <f>'PSPF Income Statement '!AA71+'ADB Income Statement'!AA71+'HAA Income Statement'!AA71+'ACC Income Statement'!AA71+'ATB Income Statement'!AA72+'AFSC Income Statement'!AA71+'ANT Income Statement'!AA71+'WCA Income Statement'!AA71+'AASPA Income Statement'!AA71</f>
        <v>520136.26999999996</v>
      </c>
      <c r="AB71" s="76">
        <f t="shared" si="47"/>
        <v>354547.13</v>
      </c>
      <c r="AC71" s="175">
        <f t="shared" si="38"/>
        <v>0.68164277411379148</v>
      </c>
      <c r="AD71" s="165"/>
      <c r="AE71" s="77"/>
    </row>
    <row r="72" spans="1:31" ht="15.75" x14ac:dyDescent="0.25">
      <c r="A72" s="145" t="s">
        <v>76</v>
      </c>
      <c r="B72" s="181">
        <f>'PSPF Income Statement '!B72+'ADB Income Statement'!B72+'HAA Income Statement'!B72+'ATB Income Statement'!B73+'ACC Income Statement'!B72+'AFSC Income Statement'!B72+'ANT Income Statement'!B72+'WCA Income Statement'!B72+'AASPA Income Statement'!B72</f>
        <v>49311</v>
      </c>
      <c r="C72" s="76">
        <f>'PSPF Income Statement '!C72+'ADB Income Statement'!C72+'HAA Income Statement'!C72+'ATB Income Statement'!C73+'ACC Income Statement'!C72+'AFSC Income Statement'!C72+'ANT Income Statement'!C72+'WCA Income Statement'!C72+'AASPA Income Statement'!C72</f>
        <v>35048.089999999997</v>
      </c>
      <c r="D72" s="76">
        <f t="shared" si="39"/>
        <v>14262.910000000003</v>
      </c>
      <c r="E72" s="175">
        <f t="shared" si="27"/>
        <v>0.28924398207296553</v>
      </c>
      <c r="F72" s="205"/>
      <c r="G72" s="226">
        <f>'PSPF Income Statement '!G72+'ADB Income Statement'!G72+'HAA Income Statement'!G72+'ATB Income Statement'!G73+'ACC Income Statement'!G72+'AFSC Income Statement'!G72+'ANT Income Statement'!G72+'WCA Income Statement'!G72+'AASPA Income Statement'!G72</f>
        <v>60942.28</v>
      </c>
      <c r="H72" s="135">
        <f>'PSPF Income Statement '!H72+'ADB Income Statement'!H72+'HAA Income Statement'!H72+'ATB Income Statement'!H73+'ACC Income Statement'!H72+'AFSC Income Statement'!H72+'ANT Income Statement'!H72+'WCA Income Statement'!H72+'AASPA Income Statement'!H72</f>
        <v>39351.65</v>
      </c>
      <c r="I72" s="130">
        <f t="shared" si="40"/>
        <v>21590.629999999997</v>
      </c>
      <c r="J72" s="220">
        <f t="shared" si="29"/>
        <v>0.35427998427364382</v>
      </c>
      <c r="K72" s="205"/>
      <c r="L72" s="181"/>
      <c r="M72" s="76"/>
      <c r="N72" s="76">
        <f t="shared" si="41"/>
        <v>0</v>
      </c>
      <c r="O72" s="176" t="str">
        <f>IF(ISERROR(N72/L72),"-",N72/L72)</f>
        <v>-</v>
      </c>
      <c r="P72" s="205"/>
      <c r="Q72" s="213">
        <v>0</v>
      </c>
      <c r="R72" s="130">
        <v>0</v>
      </c>
      <c r="S72" s="130">
        <f t="shared" si="43"/>
        <v>0</v>
      </c>
      <c r="T72" s="214" t="str">
        <f>IF(ISERROR(S72/Q72),"-",S72/Q72)</f>
        <v>-</v>
      </c>
      <c r="U72" s="205"/>
      <c r="V72" s="181">
        <f t="shared" si="45"/>
        <v>110253.28</v>
      </c>
      <c r="W72" s="76">
        <f t="shared" si="45"/>
        <v>74399.739999999991</v>
      </c>
      <c r="X72" s="76">
        <f t="shared" si="46"/>
        <v>35853.540000000008</v>
      </c>
      <c r="Y72" s="175">
        <f t="shared" si="36"/>
        <v>0.32519250220945817</v>
      </c>
      <c r="Z72" s="205"/>
      <c r="AA72" s="181">
        <f>'PSPF Income Statement '!AA72+'ADB Income Statement'!AA72+'HAA Income Statement'!AA72+'ACC Income Statement'!AA72+'ATB Income Statement'!AA73+'AFSC Income Statement'!AA72+'ANT Income Statement'!AA72+'WCA Income Statement'!AA72+'AASPA Income Statement'!AA72</f>
        <v>153303.28</v>
      </c>
      <c r="AB72" s="76">
        <f t="shared" si="47"/>
        <v>78903.540000000008</v>
      </c>
      <c r="AC72" s="175">
        <f t="shared" si="38"/>
        <v>0.51468918342777803</v>
      </c>
      <c r="AD72" s="163"/>
      <c r="AE72" s="77"/>
    </row>
    <row r="73" spans="1:31" ht="15.75" x14ac:dyDescent="0.25">
      <c r="A73" s="145" t="s">
        <v>77</v>
      </c>
      <c r="B73" s="181">
        <f>'PSPF Income Statement '!B73+'ADB Income Statement'!B73+'HAA Income Statement'!B73+'ATB Income Statement'!B74+'ACC Income Statement'!B73+'AFSC Income Statement'!B73+'ANT Income Statement'!B73+'WCA Income Statement'!B73+'AASPA Income Statement'!B73</f>
        <v>1541033.01</v>
      </c>
      <c r="C73" s="76">
        <f>'PSPF Income Statement '!C73+'ADB Income Statement'!C73+'HAA Income Statement'!C73+'ATB Income Statement'!C74+'ACC Income Statement'!C73+'AFSC Income Statement'!C73+'ANT Income Statement'!C73+'WCA Income Statement'!C73+'AASPA Income Statement'!C73</f>
        <v>1473071.3</v>
      </c>
      <c r="D73" s="76">
        <f t="shared" si="39"/>
        <v>67961.709999999963</v>
      </c>
      <c r="E73" s="175">
        <f t="shared" si="27"/>
        <v>4.4101397931767837E-2</v>
      </c>
      <c r="F73" s="205"/>
      <c r="G73" s="226">
        <f>'PSPF Income Statement '!G73+'ADB Income Statement'!G73+'HAA Income Statement'!G73+'ATB Income Statement'!G74+'ACC Income Statement'!G73+'AFSC Income Statement'!G73+'ANT Income Statement'!G73+'WCA Income Statement'!G73+'AASPA Income Statement'!G73</f>
        <v>1538430.35</v>
      </c>
      <c r="H73" s="135">
        <f>'PSPF Income Statement '!H73+'ADB Income Statement'!H73+'HAA Income Statement'!H73+'ATB Income Statement'!H74+'ACC Income Statement'!H73+'AFSC Income Statement'!H73+'ANT Income Statement'!H73+'WCA Income Statement'!H73+'AASPA Income Statement'!H73</f>
        <v>1446381.9899999998</v>
      </c>
      <c r="I73" s="130">
        <f t="shared" si="40"/>
        <v>92048.360000000335</v>
      </c>
      <c r="J73" s="220">
        <f t="shared" si="29"/>
        <v>5.9832646957335658E-2</v>
      </c>
      <c r="K73" s="205"/>
      <c r="L73" s="181"/>
      <c r="M73" s="76"/>
      <c r="N73" s="76">
        <f t="shared" si="41"/>
        <v>0</v>
      </c>
      <c r="O73" s="176" t="str">
        <f>IF(ISERROR(N73/L73),"-",N73/L73)</f>
        <v>-</v>
      </c>
      <c r="P73" s="205"/>
      <c r="Q73" s="213">
        <v>0</v>
      </c>
      <c r="R73" s="130">
        <v>0</v>
      </c>
      <c r="S73" s="130">
        <f t="shared" si="43"/>
        <v>0</v>
      </c>
      <c r="T73" s="214" t="str">
        <f>IF(ISERROR(S73/Q73),"-",S73/Q73)</f>
        <v>-</v>
      </c>
      <c r="U73" s="205"/>
      <c r="V73" s="181">
        <f t="shared" si="45"/>
        <v>3079463.3600000003</v>
      </c>
      <c r="W73" s="76">
        <f t="shared" si="45"/>
        <v>2919453.29</v>
      </c>
      <c r="X73" s="76">
        <f t="shared" si="46"/>
        <v>160010.0700000003</v>
      </c>
      <c r="Y73" s="175">
        <f t="shared" si="36"/>
        <v>5.1960374680346991E-2</v>
      </c>
      <c r="Z73" s="205"/>
      <c r="AA73" s="181">
        <f>'PSPF Income Statement '!AA73+'ADB Income Statement'!AA73+'HAA Income Statement'!AA73+'ACC Income Statement'!AA73+'ATB Income Statement'!AA74+'AFSC Income Statement'!AA73+'ANT Income Statement'!AA73+'WCA Income Statement'!AA73+'AASPA Income Statement'!AA73</f>
        <v>5685295.1600000001</v>
      </c>
      <c r="AB73" s="76">
        <f t="shared" si="47"/>
        <v>2765841.87</v>
      </c>
      <c r="AC73" s="175">
        <f t="shared" si="38"/>
        <v>0.48649046217681335</v>
      </c>
      <c r="AD73" s="163"/>
      <c r="AE73" s="77"/>
    </row>
    <row r="74" spans="1:31" ht="15.75" x14ac:dyDescent="0.25">
      <c r="A74" s="747" t="s">
        <v>78</v>
      </c>
      <c r="B74" s="187">
        <f>'PSPF Income Statement '!B74+'ADB Income Statement'!B74+'HAA Income Statement'!B74+'ATB Income Statement'!B75+'ACC Income Statement'!B74+'AFSC Income Statement'!B74+'ANT Income Statement'!B74+'WCA Income Statement'!B74+'AASPA Income Statement'!B74</f>
        <v>0</v>
      </c>
      <c r="C74" s="79">
        <f>'PSPF Income Statement '!C74+'ADB Income Statement'!C74+'HAA Income Statement'!C74+'ATB Income Statement'!C75+'ACC Income Statement'!C74+'AFSC Income Statement'!C74+'ANT Income Statement'!C74+'WCA Income Statement'!C74+'AASPA Income Statement'!C74</f>
        <v>0</v>
      </c>
      <c r="D74" s="79">
        <f t="shared" si="39"/>
        <v>0</v>
      </c>
      <c r="E74" s="252" t="str">
        <f t="shared" si="27"/>
        <v>-</v>
      </c>
      <c r="F74" s="205"/>
      <c r="G74" s="221">
        <f>'PSPF Income Statement '!G74+'ADB Income Statement'!G74+'HAA Income Statement'!G74+'ATB Income Statement'!G75+'ACC Income Statement'!G74+'AFSC Income Statement'!G74+'ANT Income Statement'!G74+'WCA Income Statement'!G74+'AASPA Income Statement'!G74</f>
        <v>0</v>
      </c>
      <c r="H74" s="133">
        <f>'PSPF Income Statement '!H74+'ADB Income Statement'!H74+'HAA Income Statement'!H74+'ATB Income Statement'!H75+'ACC Income Statement'!H74+'AFSC Income Statement'!H74+'ANT Income Statement'!H74+'WCA Income Statement'!H74+'AASPA Income Statement'!H74</f>
        <v>0</v>
      </c>
      <c r="I74" s="133">
        <f t="shared" si="40"/>
        <v>0</v>
      </c>
      <c r="J74" s="227" t="str">
        <f t="shared" si="29"/>
        <v>-</v>
      </c>
      <c r="K74" s="205"/>
      <c r="L74" s="187"/>
      <c r="M74" s="79"/>
      <c r="N74" s="79"/>
      <c r="O74" s="188"/>
      <c r="P74" s="205"/>
      <c r="Q74" s="221"/>
      <c r="R74" s="133"/>
      <c r="S74" s="133"/>
      <c r="T74" s="222"/>
      <c r="U74" s="205"/>
      <c r="V74" s="187">
        <f t="shared" si="45"/>
        <v>0</v>
      </c>
      <c r="W74" s="79">
        <f t="shared" si="45"/>
        <v>0</v>
      </c>
      <c r="X74" s="79">
        <f t="shared" si="46"/>
        <v>0</v>
      </c>
      <c r="Y74" s="175" t="str">
        <f t="shared" si="36"/>
        <v>-</v>
      </c>
      <c r="Z74" s="205"/>
      <c r="AA74" s="181">
        <f>'PSPF Income Statement '!AA74+'ADB Income Statement'!AA74+'HAA Income Statement'!AA74+'ACC Income Statement'!AA74+'ATB Income Statement'!AA75+'AFSC Income Statement'!AA74+'ANT Income Statement'!AA74+'WCA Income Statement'!AA74+'AASPA Income Statement'!AA74</f>
        <v>0</v>
      </c>
      <c r="AB74" s="79">
        <f t="shared" si="47"/>
        <v>0</v>
      </c>
      <c r="AC74" s="175" t="str">
        <f t="shared" si="38"/>
        <v>-</v>
      </c>
      <c r="AD74" s="163"/>
      <c r="AE74" s="77"/>
    </row>
    <row r="75" spans="1:31" ht="15.75" x14ac:dyDescent="0.25">
      <c r="A75" s="153"/>
      <c r="B75" s="187"/>
      <c r="C75" s="79"/>
      <c r="D75" s="79"/>
      <c r="E75" s="252"/>
      <c r="F75" s="205"/>
      <c r="G75" s="221"/>
      <c r="H75" s="133"/>
      <c r="I75" s="133"/>
      <c r="J75" s="227"/>
      <c r="K75" s="205"/>
      <c r="L75" s="187"/>
      <c r="M75" s="79"/>
      <c r="N75" s="79"/>
      <c r="O75" s="188"/>
      <c r="P75" s="205"/>
      <c r="Q75" s="221"/>
      <c r="R75" s="133"/>
      <c r="S75" s="133"/>
      <c r="T75" s="222"/>
      <c r="U75" s="205"/>
      <c r="V75" s="187"/>
      <c r="W75" s="79"/>
      <c r="X75" s="79"/>
      <c r="Y75" s="252"/>
      <c r="Z75" s="205"/>
      <c r="AA75" s="187"/>
      <c r="AB75" s="79"/>
      <c r="AC75" s="252"/>
      <c r="AD75" s="163"/>
      <c r="AE75" s="77"/>
    </row>
    <row r="76" spans="1:31" ht="15.75" x14ac:dyDescent="0.25">
      <c r="A76" s="146" t="s">
        <v>79</v>
      </c>
      <c r="B76" s="177">
        <f>SUM(B42:B73)</f>
        <v>11170646.32</v>
      </c>
      <c r="C76" s="110">
        <f>SUM(C42:C73)</f>
        <v>11344939.349999998</v>
      </c>
      <c r="D76" s="110">
        <f>SUM(D42:D73)</f>
        <v>-141061.55000000016</v>
      </c>
      <c r="E76" s="178">
        <f>IF(ISERROR(D76/B76),"-",D76/B76)</f>
        <v>-1.2627877202364076E-2</v>
      </c>
      <c r="F76" s="206"/>
      <c r="G76" s="177">
        <f>SUM(G42:G73)</f>
        <v>10104204.119999999</v>
      </c>
      <c r="H76" s="110">
        <f>SUM(H42:H73)</f>
        <v>9136489.5499999989</v>
      </c>
      <c r="I76" s="110">
        <f>SUM(I42:I73)</f>
        <v>978061.8400000009</v>
      </c>
      <c r="J76" s="178">
        <f>IF(ISERROR(I76/G76),"-",I76/G76)</f>
        <v>9.6797514023301515E-2</v>
      </c>
      <c r="K76" s="206"/>
      <c r="L76" s="177">
        <f>SUM(L42:L73)</f>
        <v>0</v>
      </c>
      <c r="M76" s="110">
        <f>SUM(M42:M73)</f>
        <v>0</v>
      </c>
      <c r="N76" s="110">
        <f>SUM(N42:N73)</f>
        <v>0</v>
      </c>
      <c r="O76" s="178" t="str">
        <f>IF(ISERROR(N76/L76),"-",N76/L76)</f>
        <v>-</v>
      </c>
      <c r="P76" s="206"/>
      <c r="Q76" s="177">
        <f>SUM(Q42:Q73)</f>
        <v>0</v>
      </c>
      <c r="R76" s="110">
        <f>SUM(R42:R73)</f>
        <v>0</v>
      </c>
      <c r="S76" s="110">
        <f>SUM(S42:S73)</f>
        <v>0</v>
      </c>
      <c r="T76" s="178" t="str">
        <f>IF(ISERROR(S76/Q76),"-",S76/Q76)</f>
        <v>-</v>
      </c>
      <c r="U76" s="206"/>
      <c r="V76" s="177">
        <f>SUM(V42:V73)</f>
        <v>21096701.080000006</v>
      </c>
      <c r="W76" s="110">
        <f>SUM(W42:W73)</f>
        <v>20259700.789999999</v>
      </c>
      <c r="X76" s="110">
        <f>SUM(X42:X73)</f>
        <v>837000.2900000005</v>
      </c>
      <c r="Y76" s="178">
        <f>IF(ISERROR(X76/V76),"-",X76/V76)</f>
        <v>3.9674463169670139E-2</v>
      </c>
      <c r="Z76" s="206"/>
      <c r="AA76" s="177">
        <f>SUM(AA42:AA73)</f>
        <v>39783053.939999998</v>
      </c>
      <c r="AB76" s="110">
        <f>SUM(AB42:AB73)</f>
        <v>17505435.5</v>
      </c>
      <c r="AC76" s="178">
        <f>IF(ISERROR(AB76/AA76),"-",AB76/AA76)</f>
        <v>0.44002241573513551</v>
      </c>
      <c r="AD76" s="164"/>
      <c r="AE76" s="80"/>
    </row>
    <row r="77" spans="1:31" ht="15.75" x14ac:dyDescent="0.25">
      <c r="A77" s="154"/>
      <c r="B77" s="191"/>
      <c r="C77" s="91"/>
      <c r="D77" s="91"/>
      <c r="E77" s="192"/>
      <c r="F77" s="203"/>
      <c r="G77" s="228"/>
      <c r="H77" s="136"/>
      <c r="I77" s="136"/>
      <c r="J77" s="229"/>
      <c r="K77" s="203"/>
      <c r="L77" s="191"/>
      <c r="M77" s="91"/>
      <c r="N77" s="91"/>
      <c r="O77" s="192"/>
      <c r="P77" s="203"/>
      <c r="Q77" s="228"/>
      <c r="R77" s="136"/>
      <c r="S77" s="136"/>
      <c r="T77" s="238"/>
      <c r="U77" s="203"/>
      <c r="V77" s="241"/>
      <c r="W77" s="92"/>
      <c r="X77" s="91"/>
      <c r="Y77" s="192"/>
      <c r="Z77" s="203"/>
      <c r="AA77" s="241"/>
      <c r="AB77" s="91"/>
      <c r="AC77" s="192"/>
      <c r="AD77" s="161"/>
      <c r="AE77" s="77"/>
    </row>
    <row r="78" spans="1:31" ht="15.75" x14ac:dyDescent="0.25">
      <c r="A78" s="146" t="s">
        <v>80</v>
      </c>
      <c r="B78" s="177">
        <f>B40+B76+B77</f>
        <v>22010702.939999998</v>
      </c>
      <c r="C78" s="110">
        <f>C40+C76+C77</f>
        <v>21618136.749999996</v>
      </c>
      <c r="D78" s="110">
        <f>D40+D76+D77</f>
        <v>425797.66999999946</v>
      </c>
      <c r="E78" s="178">
        <f>IF(ISERROR(D78/B78),"-",D78/B78)</f>
        <v>1.9345028241973969E-2</v>
      </c>
      <c r="F78" s="207"/>
      <c r="G78" s="177">
        <f>G40+G76+G77</f>
        <v>20842219.319999997</v>
      </c>
      <c r="H78" s="110">
        <f>H40+H76+H77</f>
        <v>19446909.079999998</v>
      </c>
      <c r="I78" s="110">
        <f>I40+I76+I77</f>
        <v>1405657.5100000002</v>
      </c>
      <c r="J78" s="178">
        <f>IF(ISERROR(I78/G78),"-",I78/G78)</f>
        <v>6.7442794283003468E-2</v>
      </c>
      <c r="K78" s="207"/>
      <c r="L78" s="177">
        <f>L40+L76+L77</f>
        <v>0</v>
      </c>
      <c r="M78" s="110">
        <f>M40+M76+M77</f>
        <v>0</v>
      </c>
      <c r="N78" s="110">
        <f>N40+N76+N77</f>
        <v>0</v>
      </c>
      <c r="O78" s="178" t="str">
        <f>IF(ISERROR(N78/L78),"-",N78/L78)</f>
        <v>-</v>
      </c>
      <c r="P78" s="207"/>
      <c r="Q78" s="177">
        <f>Q40+Q76+Q77</f>
        <v>0</v>
      </c>
      <c r="R78" s="110">
        <f>R40+R76+R77</f>
        <v>0</v>
      </c>
      <c r="S78" s="110">
        <f>S40+S76+S77</f>
        <v>0</v>
      </c>
      <c r="T78" s="178" t="str">
        <f>IF(ISERROR(S78/Q78),"-",S78/Q78)</f>
        <v>-</v>
      </c>
      <c r="U78" s="207"/>
      <c r="V78" s="177">
        <f>V40+V76+V77</f>
        <v>42674772.900000006</v>
      </c>
      <c r="W78" s="110">
        <f>W40+W76+W77</f>
        <v>40843317.719999999</v>
      </c>
      <c r="X78" s="110">
        <f>X40+X76+X77</f>
        <v>1831455.1800000013</v>
      </c>
      <c r="Y78" s="178">
        <f>IF(ISERROR(X78/V78),"-",X78/V78)</f>
        <v>4.2916577067478687E-2</v>
      </c>
      <c r="Z78" s="207"/>
      <c r="AA78" s="177">
        <f>AA40+AA76+AA77</f>
        <v>77154399.159999996</v>
      </c>
      <c r="AB78" s="110">
        <f>AB40+AB76+AB77</f>
        <v>34293163.789999999</v>
      </c>
      <c r="AC78" s="178">
        <f>IF(ISERROR(AB78/AA78),"-",AB78/AA78)</f>
        <v>0.44447451037605878</v>
      </c>
      <c r="AD78" s="165"/>
      <c r="AE78" s="80"/>
    </row>
    <row r="79" spans="1:31" ht="15.75" x14ac:dyDescent="0.25">
      <c r="A79" s="155"/>
      <c r="B79" s="191"/>
      <c r="C79" s="91"/>
      <c r="D79" s="91"/>
      <c r="E79" s="192"/>
      <c r="F79" s="203"/>
      <c r="G79" s="228"/>
      <c r="H79" s="136"/>
      <c r="I79" s="136"/>
      <c r="J79" s="229"/>
      <c r="K79" s="203"/>
      <c r="L79" s="191"/>
      <c r="M79" s="91"/>
      <c r="N79" s="91"/>
      <c r="O79" s="192"/>
      <c r="P79" s="203"/>
      <c r="Q79" s="228"/>
      <c r="R79" s="136"/>
      <c r="S79" s="136"/>
      <c r="T79" s="229"/>
      <c r="U79" s="203"/>
      <c r="V79" s="241"/>
      <c r="W79" s="92"/>
      <c r="X79" s="91"/>
      <c r="Y79" s="192"/>
      <c r="Z79" s="203"/>
      <c r="AA79" s="241"/>
      <c r="AB79" s="91"/>
      <c r="AC79" s="192"/>
      <c r="AD79" s="161"/>
      <c r="AE79" s="77"/>
    </row>
    <row r="80" spans="1:31" ht="15.75" x14ac:dyDescent="0.25">
      <c r="A80" s="146" t="s">
        <v>81</v>
      </c>
      <c r="B80" s="177">
        <f>B27-B78</f>
        <v>535033.36500000209</v>
      </c>
      <c r="C80" s="110">
        <f>C27-C78</f>
        <v>-502539.35999999568</v>
      </c>
      <c r="D80" s="110">
        <f>D27+D78</f>
        <v>-1004341.2449999996</v>
      </c>
      <c r="E80" s="178">
        <f>IF(ISERROR(D80/B80),"-",D80/B80)</f>
        <v>-1.8771562872532177</v>
      </c>
      <c r="F80" s="207"/>
      <c r="G80" s="177">
        <f>G27-G78</f>
        <v>-407363.80499999598</v>
      </c>
      <c r="H80" s="110">
        <f>H27-H78</f>
        <v>-1522728.6900000013</v>
      </c>
      <c r="I80" s="110">
        <f>I27+I78</f>
        <v>-1105017.6149999998</v>
      </c>
      <c r="J80" s="178">
        <f>IF(ISERROR(I80/G80),"-",I80/G80)</f>
        <v>2.7126062783118661</v>
      </c>
      <c r="K80" s="207"/>
      <c r="L80" s="177">
        <f>L27-L78</f>
        <v>0</v>
      </c>
      <c r="M80" s="110">
        <f>M27-M78</f>
        <v>0</v>
      </c>
      <c r="N80" s="110">
        <f>N27+N78</f>
        <v>0</v>
      </c>
      <c r="O80" s="178" t="str">
        <f>IF(ISERROR(N80/L80),"-",N80/L80)</f>
        <v>-</v>
      </c>
      <c r="P80" s="207"/>
      <c r="Q80" s="177">
        <f>Q27-Q78</f>
        <v>0</v>
      </c>
      <c r="R80" s="110">
        <f>R27-R78</f>
        <v>0</v>
      </c>
      <c r="S80" s="110">
        <f>S27+S78</f>
        <v>0</v>
      </c>
      <c r="T80" s="178" t="str">
        <f>IF(ISERROR(S80/Q80),"-",S80/Q80)</f>
        <v>-</v>
      </c>
      <c r="U80" s="207"/>
      <c r="V80" s="242">
        <f>V27-V78</f>
        <v>305818.91999999434</v>
      </c>
      <c r="W80" s="109">
        <f>W27-W78</f>
        <v>-1803539.9399999976</v>
      </c>
      <c r="X80" s="109">
        <f>X27+X78</f>
        <v>-2109358.8599999985</v>
      </c>
      <c r="Y80" s="243">
        <f>IF(ISERROR(X80/V80),"-",X80/V80)</f>
        <v>-6.8974112523843765</v>
      </c>
      <c r="Z80" s="207"/>
      <c r="AA80" s="177">
        <f>AA27-AA78</f>
        <v>-5321439.9200000018</v>
      </c>
      <c r="AB80" s="110">
        <f>AB27-AB78</f>
        <v>-1499982.3300000057</v>
      </c>
      <c r="AC80" s="178">
        <f>IF(ISERROR(AB80/AA80),"-",AB80/AA80)</f>
        <v>0.28187527296183496</v>
      </c>
      <c r="AD80" s="165"/>
      <c r="AE80" s="80"/>
    </row>
    <row r="81" spans="1:31" ht="15.75" x14ac:dyDescent="0.25">
      <c r="A81" s="156"/>
      <c r="B81" s="193"/>
      <c r="C81" s="93"/>
      <c r="D81" s="94"/>
      <c r="E81" s="194"/>
      <c r="F81" s="111"/>
      <c r="G81" s="230"/>
      <c r="H81" s="137"/>
      <c r="I81" s="138"/>
      <c r="J81" s="231"/>
      <c r="K81" s="111"/>
      <c r="L81" s="193"/>
      <c r="M81" s="93"/>
      <c r="N81" s="94"/>
      <c r="O81" s="194"/>
      <c r="P81" s="111"/>
      <c r="Q81" s="230"/>
      <c r="R81" s="137"/>
      <c r="S81" s="138"/>
      <c r="T81" s="231"/>
      <c r="U81" s="111"/>
      <c r="V81" s="179"/>
      <c r="W81" s="81"/>
      <c r="X81" s="94"/>
      <c r="Y81" s="194"/>
      <c r="Z81" s="111"/>
      <c r="AA81" s="179"/>
      <c r="AB81" s="94"/>
      <c r="AC81" s="194"/>
      <c r="AD81" s="166"/>
      <c r="AE81" s="77"/>
    </row>
    <row r="82" spans="1:31" ht="15.75" x14ac:dyDescent="0.25">
      <c r="A82" s="148" t="s">
        <v>82</v>
      </c>
      <c r="B82" s="181"/>
      <c r="C82" s="76"/>
      <c r="D82" s="76">
        <f>B82-C82</f>
        <v>0</v>
      </c>
      <c r="E82" s="176" t="str">
        <f>IF(ISERROR(D82/B82),"-",D82/B82)</f>
        <v>-</v>
      </c>
      <c r="F82" s="207"/>
      <c r="G82" s="213"/>
      <c r="H82" s="130"/>
      <c r="I82" s="130">
        <f>G82-H82</f>
        <v>0</v>
      </c>
      <c r="J82" s="214" t="str">
        <f>IF(ISERROR(I82/G82),"-",I82/G82)</f>
        <v>-</v>
      </c>
      <c r="K82" s="207"/>
      <c r="L82" s="181"/>
      <c r="M82" s="76"/>
      <c r="N82" s="76">
        <f>L82-M82</f>
        <v>0</v>
      </c>
      <c r="O82" s="176" t="str">
        <f>IF(ISERROR(N82/L82),"-",N82/L82)</f>
        <v>-</v>
      </c>
      <c r="P82" s="207"/>
      <c r="Q82" s="213"/>
      <c r="R82" s="130"/>
      <c r="S82" s="130">
        <f>Q82-R82</f>
        <v>0</v>
      </c>
      <c r="T82" s="214" t="str">
        <f>IF(ISERROR(S82/Q82),"-",S82/Q82)</f>
        <v>-</v>
      </c>
      <c r="U82" s="207"/>
      <c r="V82" s="181">
        <f>B82+G82+L82+Q82</f>
        <v>0</v>
      </c>
      <c r="W82" s="76">
        <f>C82+H82+M82+R82</f>
        <v>0</v>
      </c>
      <c r="X82" s="76">
        <f>V82-W82</f>
        <v>0</v>
      </c>
      <c r="Y82" s="176" t="str">
        <f>IF(ISERROR(X82/V82),"-",X82/V82)</f>
        <v>-</v>
      </c>
      <c r="Z82" s="207"/>
      <c r="AA82" s="181">
        <f>G82+L82+Q82+V82</f>
        <v>0</v>
      </c>
      <c r="AB82" s="76">
        <f>AA82-W82</f>
        <v>0</v>
      </c>
      <c r="AC82" s="176" t="str">
        <f>IF(ISERROR(AB82/AA82),"-",AB82/AA82)</f>
        <v>-</v>
      </c>
      <c r="AD82" s="165"/>
      <c r="AE82" s="77"/>
    </row>
    <row r="83" spans="1:31" ht="15.75" x14ac:dyDescent="0.25">
      <c r="A83" s="149"/>
      <c r="B83" s="195"/>
      <c r="C83" s="95"/>
      <c r="D83" s="95"/>
      <c r="E83" s="196"/>
      <c r="F83" s="111"/>
      <c r="G83" s="232"/>
      <c r="H83" s="139"/>
      <c r="I83" s="139"/>
      <c r="J83" s="233"/>
      <c r="K83" s="111"/>
      <c r="L83" s="195"/>
      <c r="M83" s="95"/>
      <c r="N83" s="95"/>
      <c r="O83" s="196"/>
      <c r="P83" s="111"/>
      <c r="Q83" s="232"/>
      <c r="R83" s="139"/>
      <c r="S83" s="139"/>
      <c r="T83" s="233"/>
      <c r="U83" s="111"/>
      <c r="V83" s="195"/>
      <c r="W83" s="95"/>
      <c r="X83" s="95"/>
      <c r="Y83" s="196"/>
      <c r="Z83" s="111"/>
      <c r="AA83" s="195"/>
      <c r="AB83" s="95"/>
      <c r="AC83" s="196"/>
      <c r="AD83" s="166"/>
      <c r="AE83" s="77"/>
    </row>
    <row r="84" spans="1:31" ht="16.5" thickBot="1" x14ac:dyDescent="0.3">
      <c r="A84" s="157" t="s">
        <v>83</v>
      </c>
      <c r="B84" s="197">
        <f>B80-B82</f>
        <v>535033.36500000209</v>
      </c>
      <c r="C84" s="198">
        <f>C80-C82</f>
        <v>-502539.35999999568</v>
      </c>
      <c r="D84" s="198">
        <f>D80+D82</f>
        <v>-1004341.2449999996</v>
      </c>
      <c r="E84" s="199">
        <f>IF(ISERROR(D84/B84),"-",D84/B84)</f>
        <v>-1.8771562872532177</v>
      </c>
      <c r="F84" s="208"/>
      <c r="G84" s="197">
        <f>G80-G82</f>
        <v>-407363.80499999598</v>
      </c>
      <c r="H84" s="198">
        <f>H80-H82</f>
        <v>-1522728.6900000013</v>
      </c>
      <c r="I84" s="198">
        <f>I80+I82</f>
        <v>-1105017.6149999998</v>
      </c>
      <c r="J84" s="199">
        <f>IF(ISERROR(I84/G84),"-",I84/G84)</f>
        <v>2.7126062783118661</v>
      </c>
      <c r="K84" s="208"/>
      <c r="L84" s="197">
        <f>L80-L82</f>
        <v>0</v>
      </c>
      <c r="M84" s="198">
        <f>M80-M82</f>
        <v>0</v>
      </c>
      <c r="N84" s="198">
        <f>N80+N82</f>
        <v>0</v>
      </c>
      <c r="O84" s="199" t="str">
        <f>IF(ISERROR(N84/L84),"-",N84/L84)</f>
        <v>-</v>
      </c>
      <c r="P84" s="208"/>
      <c r="Q84" s="197">
        <f>Q80-Q82</f>
        <v>0</v>
      </c>
      <c r="R84" s="198">
        <f>R80-R82</f>
        <v>0</v>
      </c>
      <c r="S84" s="198">
        <f>S80+S82</f>
        <v>0</v>
      </c>
      <c r="T84" s="199" t="str">
        <f>IF(ISERROR(S84/Q84),"-",S84/Q84)</f>
        <v>-</v>
      </c>
      <c r="U84" s="208"/>
      <c r="V84" s="244">
        <f>V80-V82</f>
        <v>305818.91999999434</v>
      </c>
      <c r="W84" s="245">
        <f>W80-W82</f>
        <v>-1803539.9399999976</v>
      </c>
      <c r="X84" s="245">
        <f>X80+X82</f>
        <v>-2109358.8599999985</v>
      </c>
      <c r="Y84" s="246">
        <f>IF(ISERROR(X84/V84),"-",X84/V84)</f>
        <v>-6.8974112523843765</v>
      </c>
      <c r="Z84" s="208"/>
      <c r="AA84" s="244">
        <f>AA80-AA82</f>
        <v>-5321439.9200000018</v>
      </c>
      <c r="AB84" s="245">
        <f>AA84-W84</f>
        <v>-3517899.9800000042</v>
      </c>
      <c r="AC84" s="246">
        <f>IF(ISERROR(AB84/AA84),"-",AB84/AA84)</f>
        <v>0.66108046560450562</v>
      </c>
      <c r="AD84" s="167"/>
      <c r="AE84" s="96"/>
    </row>
    <row r="89" spans="1:31" x14ac:dyDescent="0.25">
      <c r="B89" s="591"/>
    </row>
  </sheetData>
  <mergeCells count="19">
    <mergeCell ref="AE9:AE11"/>
    <mergeCell ref="D10:E10"/>
    <mergeCell ref="I10:J10"/>
    <mergeCell ref="N10:O10"/>
    <mergeCell ref="S10:T10"/>
    <mergeCell ref="X10:Y10"/>
    <mergeCell ref="AB10:AC10"/>
    <mergeCell ref="B9:E9"/>
    <mergeCell ref="G9:J9"/>
    <mergeCell ref="L9:O9"/>
    <mergeCell ref="Q9:T9"/>
    <mergeCell ref="V9:Y9"/>
    <mergeCell ref="AA9:AC9"/>
    <mergeCell ref="A7:H7"/>
    <mergeCell ref="A1:H1"/>
    <mergeCell ref="A3:H3"/>
    <mergeCell ref="A4:H4"/>
    <mergeCell ref="A5:H5"/>
    <mergeCell ref="A6:H6"/>
  </mergeCells>
  <pageMargins left="0.7" right="0.7" top="0.75" bottom="0.75" header="0.3" footer="0.3"/>
  <pageSetup scale="51" fitToWidth="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W72"/>
  <sheetViews>
    <sheetView topLeftCell="A3" zoomScale="80" zoomScaleNormal="80" workbookViewId="0">
      <selection activeCell="A3" sqref="A3:F3"/>
    </sheetView>
  </sheetViews>
  <sheetFormatPr defaultColWidth="8.85546875" defaultRowHeight="15.75" customHeight="1" x14ac:dyDescent="0.25"/>
  <cols>
    <col min="1" max="1" width="64.42578125" style="8" customWidth="1"/>
    <col min="2" max="2" width="16.42578125" style="8" customWidth="1"/>
    <col min="3" max="3" width="16.85546875" style="8" customWidth="1"/>
    <col min="4" max="4" width="18.140625" style="8" customWidth="1"/>
    <col min="5" max="5" width="17" style="8" customWidth="1"/>
    <col min="6" max="6" width="17.42578125" style="8" customWidth="1"/>
    <col min="7" max="231" width="8.85546875" style="8" customWidth="1"/>
    <col min="232" max="16384" width="8.85546875" style="2"/>
  </cols>
  <sheetData>
    <row r="1" spans="1:231" ht="18.75" customHeight="1" x14ac:dyDescent="0.25">
      <c r="A1" s="862" t="s">
        <v>0</v>
      </c>
      <c r="B1" s="879"/>
      <c r="C1" s="879"/>
      <c r="D1" s="879"/>
      <c r="E1" s="879"/>
      <c r="F1" s="879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</row>
    <row r="2" spans="1:231" ht="18.75" customHeight="1" x14ac:dyDescent="0.25">
      <c r="A2" s="3"/>
      <c r="B2" s="4"/>
      <c r="C2" s="4"/>
      <c r="D2" s="4"/>
      <c r="E2" s="4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</row>
    <row r="3" spans="1:231" s="9" customFormat="1" ht="18.75" customHeight="1" x14ac:dyDescent="0.3">
      <c r="A3" s="858" t="s">
        <v>184</v>
      </c>
      <c r="B3" s="859"/>
      <c r="C3" s="859"/>
      <c r="D3" s="859"/>
      <c r="E3" s="859"/>
      <c r="F3" s="859"/>
    </row>
    <row r="4" spans="1:231" ht="18.75" customHeight="1" x14ac:dyDescent="0.3">
      <c r="A4" s="880" t="s">
        <v>84</v>
      </c>
      <c r="B4" s="860"/>
      <c r="C4" s="860"/>
      <c r="D4" s="860"/>
      <c r="E4" s="860"/>
      <c r="F4" s="86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</row>
    <row r="5" spans="1:231" ht="18.75" customHeight="1" x14ac:dyDescent="0.3">
      <c r="A5" s="880" t="s">
        <v>85</v>
      </c>
      <c r="B5" s="881"/>
      <c r="C5" s="881"/>
      <c r="D5" s="881"/>
      <c r="E5" s="881"/>
      <c r="F5" s="88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</row>
    <row r="6" spans="1:231" ht="18.75" customHeight="1" x14ac:dyDescent="0.3">
      <c r="A6" s="858" t="s">
        <v>87</v>
      </c>
      <c r="B6" s="882"/>
      <c r="C6" s="882"/>
      <c r="D6" s="882"/>
      <c r="E6" s="882"/>
      <c r="F6" s="88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</row>
    <row r="7" spans="1:231" ht="18.75" customHeight="1" x14ac:dyDescent="0.3">
      <c r="A7" s="858" t="s">
        <v>5</v>
      </c>
      <c r="B7" s="859"/>
      <c r="C7" s="859"/>
      <c r="D7" s="859"/>
      <c r="E7" s="859"/>
      <c r="F7" s="859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</row>
    <row r="8" spans="1:231" ht="16.5" customHeight="1" thickBot="1" x14ac:dyDescent="0.3">
      <c r="A8" s="6"/>
      <c r="B8" s="34"/>
      <c r="C8" s="7"/>
      <c r="D8" s="34"/>
      <c r="E8" s="7"/>
      <c r="F8" s="3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</row>
    <row r="9" spans="1:231" ht="17.45" customHeight="1" x14ac:dyDescent="0.25">
      <c r="A9" s="17"/>
      <c r="B9" s="35" t="s">
        <v>162</v>
      </c>
      <c r="C9" s="49" t="s">
        <v>163</v>
      </c>
      <c r="D9" s="35" t="s">
        <v>98</v>
      </c>
      <c r="E9" s="49" t="s">
        <v>164</v>
      </c>
      <c r="F9" s="35" t="s">
        <v>165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</row>
    <row r="10" spans="1:231" ht="15" customHeight="1" x14ac:dyDescent="0.25">
      <c r="A10" s="18"/>
      <c r="B10" s="36">
        <v>43831</v>
      </c>
      <c r="C10" s="50">
        <v>43921</v>
      </c>
      <c r="D10" s="36">
        <v>44012</v>
      </c>
      <c r="E10" s="50">
        <v>44104</v>
      </c>
      <c r="F10" s="61">
        <v>44196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</row>
    <row r="11" spans="1:231" ht="15" customHeight="1" thickBot="1" x14ac:dyDescent="0.3">
      <c r="A11" s="19"/>
      <c r="B11" s="37" t="s">
        <v>19</v>
      </c>
      <c r="C11" s="51" t="s">
        <v>19</v>
      </c>
      <c r="D11" s="37" t="s">
        <v>19</v>
      </c>
      <c r="E11" s="51" t="s">
        <v>19</v>
      </c>
      <c r="F11" s="37" t="s">
        <v>19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</row>
    <row r="12" spans="1:231" ht="15" customHeight="1" x14ac:dyDescent="0.25">
      <c r="A12" s="20" t="s">
        <v>99</v>
      </c>
      <c r="B12" s="38"/>
      <c r="C12" s="52"/>
      <c r="D12" s="38"/>
      <c r="E12" s="52"/>
      <c r="F12" s="38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</row>
    <row r="13" spans="1:231" ht="15" customHeight="1" x14ac:dyDescent="0.25">
      <c r="A13" s="21" t="s">
        <v>100</v>
      </c>
      <c r="B13" s="39"/>
      <c r="C13" s="12"/>
      <c r="D13" s="39"/>
      <c r="E13" s="12"/>
      <c r="F13" s="39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</row>
    <row r="14" spans="1:231" ht="15" customHeight="1" x14ac:dyDescent="0.25">
      <c r="A14" s="10" t="s">
        <v>101</v>
      </c>
      <c r="B14" s="39">
        <v>0</v>
      </c>
      <c r="C14" s="12">
        <v>0</v>
      </c>
      <c r="D14" s="39">
        <v>559328</v>
      </c>
      <c r="E14" s="306">
        <v>633143</v>
      </c>
      <c r="F14" s="39"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</row>
    <row r="15" spans="1:231" ht="15" customHeight="1" x14ac:dyDescent="0.25">
      <c r="A15" s="11" t="s">
        <v>102</v>
      </c>
      <c r="B15" s="39">
        <v>0</v>
      </c>
      <c r="C15" s="12">
        <v>0</v>
      </c>
      <c r="D15" s="39">
        <v>0</v>
      </c>
      <c r="E15" s="306">
        <v>2089044</v>
      </c>
      <c r="F15" s="39"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</row>
    <row r="16" spans="1:231" ht="15" customHeight="1" x14ac:dyDescent="0.25">
      <c r="A16" s="11" t="s">
        <v>103</v>
      </c>
      <c r="B16" s="39">
        <v>0</v>
      </c>
      <c r="C16" s="12">
        <v>0</v>
      </c>
      <c r="D16" s="39">
        <v>0</v>
      </c>
      <c r="E16" s="306">
        <v>6029.07</v>
      </c>
      <c r="F16" s="39"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</row>
    <row r="17" spans="1:231" ht="15" customHeight="1" x14ac:dyDescent="0.25">
      <c r="A17" s="11" t="s">
        <v>104</v>
      </c>
      <c r="B17" s="39">
        <v>0</v>
      </c>
      <c r="C17" s="12">
        <v>0</v>
      </c>
      <c r="D17" s="39">
        <v>0</v>
      </c>
      <c r="E17" s="306">
        <v>0</v>
      </c>
      <c r="F17" s="39"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</row>
    <row r="18" spans="1:231" ht="15" customHeight="1" x14ac:dyDescent="0.25">
      <c r="A18" s="11" t="s">
        <v>105</v>
      </c>
      <c r="B18" s="39">
        <v>0</v>
      </c>
      <c r="C18" s="12">
        <v>0</v>
      </c>
      <c r="D18" s="39">
        <v>2368979</v>
      </c>
      <c r="E18" s="306">
        <v>0</v>
      </c>
      <c r="F18" s="39"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</row>
    <row r="19" spans="1:231" ht="15" customHeight="1" x14ac:dyDescent="0.25">
      <c r="A19" s="22" t="s">
        <v>106</v>
      </c>
      <c r="B19" s="40">
        <v>0</v>
      </c>
      <c r="C19" s="53">
        <v>0</v>
      </c>
      <c r="D19" s="40">
        <v>750000</v>
      </c>
      <c r="E19" s="53">
        <v>765085</v>
      </c>
      <c r="F19" s="40"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</row>
    <row r="20" spans="1:231" ht="15" customHeight="1" x14ac:dyDescent="0.25">
      <c r="A20" s="23" t="s">
        <v>107</v>
      </c>
      <c r="B20" s="41">
        <f>SUM(B14:B19)</f>
        <v>0</v>
      </c>
      <c r="C20" s="54">
        <f>SUM(C14:C19)</f>
        <v>0</v>
      </c>
      <c r="D20" s="41">
        <f>SUM(D14:D19)</f>
        <v>3678307</v>
      </c>
      <c r="E20" s="54">
        <f>SUM(E14:E19)</f>
        <v>3493301.07</v>
      </c>
      <c r="F20" s="41">
        <f>SUM(F14:F19)</f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</row>
    <row r="21" spans="1:231" ht="15" customHeight="1" x14ac:dyDescent="0.25">
      <c r="A21" s="24"/>
      <c r="B21" s="42"/>
      <c r="C21" s="55"/>
      <c r="D21" s="42"/>
      <c r="E21" s="55"/>
      <c r="F21" s="4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</row>
    <row r="22" spans="1:231" ht="15" customHeight="1" x14ac:dyDescent="0.25">
      <c r="A22" s="25" t="s">
        <v>108</v>
      </c>
      <c r="B22" s="39"/>
      <c r="C22" s="12"/>
      <c r="D22" s="39"/>
      <c r="E22" s="12"/>
      <c r="F22" s="39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</row>
    <row r="23" spans="1:231" ht="15" customHeight="1" x14ac:dyDescent="0.25">
      <c r="A23" s="11" t="s">
        <v>109</v>
      </c>
      <c r="B23" s="39">
        <v>0</v>
      </c>
      <c r="C23" s="12">
        <v>0</v>
      </c>
      <c r="D23" s="39">
        <v>0</v>
      </c>
      <c r="E23" s="12">
        <v>0</v>
      </c>
      <c r="F23" s="39">
        <v>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</row>
    <row r="24" spans="1:231" ht="15" customHeight="1" x14ac:dyDescent="0.25">
      <c r="A24" s="11" t="s">
        <v>110</v>
      </c>
      <c r="B24" s="39">
        <v>0</v>
      </c>
      <c r="C24" s="12">
        <v>0</v>
      </c>
      <c r="D24" s="39">
        <v>0</v>
      </c>
      <c r="E24" s="12">
        <v>0</v>
      </c>
      <c r="F24" s="39">
        <v>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</row>
    <row r="25" spans="1:231" ht="15" customHeight="1" x14ac:dyDescent="0.25">
      <c r="A25" s="11" t="s">
        <v>111</v>
      </c>
      <c r="B25" s="39">
        <v>0</v>
      </c>
      <c r="C25" s="12">
        <v>0</v>
      </c>
      <c r="D25" s="39">
        <v>0</v>
      </c>
      <c r="E25" s="12">
        <v>0</v>
      </c>
      <c r="F25" s="39"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</row>
    <row r="26" spans="1:231" ht="15" customHeight="1" x14ac:dyDescent="0.25">
      <c r="A26" s="11" t="s">
        <v>185</v>
      </c>
      <c r="B26" s="39"/>
      <c r="C26" s="12"/>
      <c r="D26" s="39"/>
      <c r="E26" s="12"/>
      <c r="F26" s="39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</row>
    <row r="27" spans="1:231" ht="15" customHeight="1" x14ac:dyDescent="0.25">
      <c r="A27" s="11" t="s">
        <v>174</v>
      </c>
      <c r="B27" s="39">
        <v>0</v>
      </c>
      <c r="C27" s="12">
        <v>0</v>
      </c>
      <c r="D27" s="39">
        <v>0</v>
      </c>
      <c r="E27" s="12">
        <v>0</v>
      </c>
      <c r="F27" s="39">
        <v>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</row>
    <row r="28" spans="1:231" ht="15" customHeight="1" x14ac:dyDescent="0.25">
      <c r="A28" s="11" t="s">
        <v>186</v>
      </c>
      <c r="B28" s="39">
        <v>0</v>
      </c>
      <c r="C28" s="12">
        <v>0</v>
      </c>
      <c r="D28" s="39">
        <v>0</v>
      </c>
      <c r="E28" s="12">
        <v>0</v>
      </c>
      <c r="F28" s="39">
        <v>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</row>
    <row r="29" spans="1:231" ht="15" customHeight="1" x14ac:dyDescent="0.25">
      <c r="A29" s="22" t="s">
        <v>115</v>
      </c>
      <c r="B29" s="40">
        <v>0</v>
      </c>
      <c r="C29" s="53">
        <v>0</v>
      </c>
      <c r="D29" s="40">
        <v>0</v>
      </c>
      <c r="E29" s="53">
        <v>0</v>
      </c>
      <c r="F29" s="40"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</row>
    <row r="30" spans="1:231" ht="15" customHeight="1" x14ac:dyDescent="0.25">
      <c r="A30" s="23" t="s">
        <v>116</v>
      </c>
      <c r="B30" s="41">
        <f>SUM(B23:B29)</f>
        <v>0</v>
      </c>
      <c r="C30" s="54">
        <f>SUM(C23:C29)</f>
        <v>0</v>
      </c>
      <c r="D30" s="41">
        <f>SUM(D23:D29)</f>
        <v>0</v>
      </c>
      <c r="E30" s="54">
        <f>SUM(E23:E29)</f>
        <v>0</v>
      </c>
      <c r="F30" s="41">
        <f>SUM(F23:F29)</f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</row>
    <row r="31" spans="1:231" ht="15" customHeight="1" x14ac:dyDescent="0.25">
      <c r="A31" s="24"/>
      <c r="B31" s="42"/>
      <c r="C31" s="55"/>
      <c r="D31" s="42"/>
      <c r="E31" s="55"/>
      <c r="F31" s="4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</row>
    <row r="32" spans="1:231" ht="15" customHeight="1" x14ac:dyDescent="0.25">
      <c r="A32" s="25" t="s">
        <v>117</v>
      </c>
      <c r="B32" s="43"/>
      <c r="C32" s="15"/>
      <c r="D32" s="43"/>
      <c r="E32" s="15"/>
      <c r="F32" s="4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</row>
    <row r="33" spans="1:231" ht="15" customHeight="1" x14ac:dyDescent="0.25">
      <c r="A33" s="13" t="s">
        <v>118</v>
      </c>
      <c r="B33" s="43"/>
      <c r="C33" s="15"/>
      <c r="D33" s="43"/>
      <c r="E33" s="15"/>
      <c r="F33" s="43"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</row>
    <row r="34" spans="1:231" ht="15" customHeight="1" x14ac:dyDescent="0.25">
      <c r="A34" s="13" t="s">
        <v>119</v>
      </c>
      <c r="B34" s="43"/>
      <c r="C34" s="15"/>
      <c r="D34" s="43"/>
      <c r="E34" s="15"/>
      <c r="F34" s="43">
        <v>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</row>
    <row r="35" spans="1:231" ht="15" customHeight="1" x14ac:dyDescent="0.25">
      <c r="A35" s="13" t="s">
        <v>120</v>
      </c>
      <c r="B35" s="43"/>
      <c r="C35" s="15"/>
      <c r="D35" s="43"/>
      <c r="E35" s="15"/>
      <c r="F35" s="43">
        <v>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</row>
    <row r="36" spans="1:231" ht="15" customHeight="1" x14ac:dyDescent="0.25">
      <c r="A36" s="13" t="s">
        <v>121</v>
      </c>
      <c r="B36" s="43"/>
      <c r="C36" s="15"/>
      <c r="D36" s="43"/>
      <c r="E36" s="15"/>
      <c r="F36" s="43">
        <v>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</row>
    <row r="37" spans="1:231" ht="15" customHeight="1" x14ac:dyDescent="0.25">
      <c r="A37" s="13" t="s">
        <v>122</v>
      </c>
      <c r="B37" s="43"/>
      <c r="C37" s="15"/>
      <c r="D37" s="43"/>
      <c r="E37" s="15"/>
      <c r="F37" s="43"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</row>
    <row r="38" spans="1:231" ht="15" customHeight="1" x14ac:dyDescent="0.25">
      <c r="A38" s="14" t="s">
        <v>169</v>
      </c>
      <c r="B38" s="44"/>
      <c r="C38" s="56"/>
      <c r="D38" s="44"/>
      <c r="E38" s="56"/>
      <c r="F38" s="44"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</row>
    <row r="39" spans="1:231" ht="15" customHeight="1" x14ac:dyDescent="0.25">
      <c r="A39" s="23" t="s">
        <v>124</v>
      </c>
      <c r="B39" s="41">
        <f>SUM(B32:B38)</f>
        <v>0</v>
      </c>
      <c r="C39" s="54">
        <f>SUM(C32:C38)</f>
        <v>0</v>
      </c>
      <c r="D39" s="41">
        <f>SUM(D32:D38)</f>
        <v>0</v>
      </c>
      <c r="E39" s="54">
        <f>SUM(E32:E38)</f>
        <v>0</v>
      </c>
      <c r="F39" s="41">
        <f>SUM(F32:F38)</f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</row>
    <row r="40" spans="1:231" ht="15" customHeight="1" x14ac:dyDescent="0.25">
      <c r="A40" s="26"/>
      <c r="B40" s="45"/>
      <c r="C40" s="57"/>
      <c r="D40" s="45"/>
      <c r="E40" s="57"/>
      <c r="F40" s="45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</row>
    <row r="41" spans="1:231" ht="15" customHeight="1" x14ac:dyDescent="0.25">
      <c r="A41" s="21" t="s">
        <v>125</v>
      </c>
      <c r="B41" s="39">
        <v>0</v>
      </c>
      <c r="C41" s="12">
        <v>0</v>
      </c>
      <c r="D41" s="39">
        <v>0</v>
      </c>
      <c r="E41" s="12">
        <v>0</v>
      </c>
      <c r="F41" s="39"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</row>
    <row r="42" spans="1:231" ht="15" customHeight="1" x14ac:dyDescent="0.25">
      <c r="A42" s="27"/>
      <c r="B42" s="44"/>
      <c r="C42" s="56"/>
      <c r="D42" s="44"/>
      <c r="E42" s="56"/>
      <c r="F42" s="4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</row>
    <row r="43" spans="1:231" ht="15" customHeight="1" x14ac:dyDescent="0.25">
      <c r="A43" s="23" t="s">
        <v>126</v>
      </c>
      <c r="B43" s="41">
        <f>B20+B30+B39+B41</f>
        <v>0</v>
      </c>
      <c r="C43" s="54">
        <f>C20+C30+C39+C41</f>
        <v>0</v>
      </c>
      <c r="D43" s="41">
        <f>D20+D30+D39+D41</f>
        <v>3678307</v>
      </c>
      <c r="E43" s="54">
        <f>E20+E30+E39+E41</f>
        <v>3493301.07</v>
      </c>
      <c r="F43" s="41">
        <f>F20+F30+F39+F41</f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</row>
    <row r="44" spans="1:231" ht="15" customHeight="1" x14ac:dyDescent="0.25">
      <c r="A44" s="28"/>
      <c r="B44" s="46"/>
      <c r="C44" s="58"/>
      <c r="D44" s="46"/>
      <c r="E44" s="58"/>
      <c r="F44" s="46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</row>
    <row r="45" spans="1:231" ht="15" customHeight="1" x14ac:dyDescent="0.25">
      <c r="A45" s="21" t="s">
        <v>127</v>
      </c>
      <c r="B45" s="43"/>
      <c r="C45" s="15"/>
      <c r="D45" s="43"/>
      <c r="E45" s="15"/>
      <c r="F45" s="4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</row>
    <row r="46" spans="1:231" ht="15" customHeight="1" x14ac:dyDescent="0.25">
      <c r="A46" s="29"/>
      <c r="B46" s="43"/>
      <c r="C46" s="15"/>
      <c r="D46" s="43"/>
      <c r="E46" s="15"/>
      <c r="F46" s="4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</row>
    <row r="47" spans="1:231" ht="15" customHeight="1" x14ac:dyDescent="0.25">
      <c r="A47" s="21" t="s">
        <v>128</v>
      </c>
      <c r="B47" s="39"/>
      <c r="C47" s="12"/>
      <c r="D47" s="39"/>
      <c r="E47" s="12"/>
      <c r="F47" s="39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</row>
    <row r="48" spans="1:231" ht="15" customHeight="1" x14ac:dyDescent="0.25">
      <c r="A48" s="13" t="s">
        <v>187</v>
      </c>
      <c r="B48" s="43">
        <v>4500000</v>
      </c>
      <c r="C48" s="15">
        <v>5071887</v>
      </c>
      <c r="D48" s="305">
        <v>3000000</v>
      </c>
      <c r="E48" s="43">
        <v>1700000</v>
      </c>
      <c r="F48" s="43">
        <v>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</row>
    <row r="49" spans="1:231" ht="15" customHeight="1" x14ac:dyDescent="0.25">
      <c r="A49" s="16" t="s">
        <v>130</v>
      </c>
      <c r="B49" s="43">
        <v>0</v>
      </c>
      <c r="C49" s="15">
        <v>0</v>
      </c>
      <c r="D49" s="43">
        <v>0</v>
      </c>
      <c r="E49" s="15">
        <v>0</v>
      </c>
      <c r="F49" s="43">
        <v>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</row>
    <row r="50" spans="1:231" ht="15" customHeight="1" x14ac:dyDescent="0.25">
      <c r="A50" s="16" t="s">
        <v>131</v>
      </c>
      <c r="B50" s="43">
        <v>0</v>
      </c>
      <c r="C50" s="15">
        <v>0</v>
      </c>
      <c r="D50" s="43">
        <v>0</v>
      </c>
      <c r="E50" s="15">
        <v>0</v>
      </c>
      <c r="F50" s="43">
        <v>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</row>
    <row r="51" spans="1:231" ht="15" customHeight="1" x14ac:dyDescent="0.25">
      <c r="A51" s="16" t="s">
        <v>132</v>
      </c>
      <c r="B51" s="43">
        <v>0</v>
      </c>
      <c r="C51" s="15">
        <v>0</v>
      </c>
      <c r="D51" s="43">
        <v>0</v>
      </c>
      <c r="E51" s="15">
        <v>0</v>
      </c>
      <c r="F51" s="43">
        <v>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</row>
    <row r="52" spans="1:231" ht="15" customHeight="1" x14ac:dyDescent="0.25">
      <c r="A52" s="16" t="s">
        <v>133</v>
      </c>
      <c r="B52" s="43">
        <v>0</v>
      </c>
      <c r="C52" s="15">
        <v>0</v>
      </c>
      <c r="D52" s="43">
        <v>0</v>
      </c>
      <c r="E52" s="15">
        <v>0</v>
      </c>
      <c r="F52" s="43">
        <v>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</row>
    <row r="53" spans="1:231" ht="15" customHeight="1" x14ac:dyDescent="0.25">
      <c r="A53" s="16" t="s">
        <v>134</v>
      </c>
      <c r="B53" s="43">
        <v>0</v>
      </c>
      <c r="C53" s="15">
        <v>0</v>
      </c>
      <c r="D53" s="43">
        <v>0</v>
      </c>
      <c r="E53" s="15">
        <v>0</v>
      </c>
      <c r="F53" s="43">
        <v>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</row>
    <row r="54" spans="1:231" ht="15" customHeight="1" x14ac:dyDescent="0.25">
      <c r="A54" s="13" t="s">
        <v>135</v>
      </c>
      <c r="B54" s="43">
        <v>0</v>
      </c>
      <c r="C54" s="15">
        <v>0</v>
      </c>
      <c r="D54" s="43">
        <v>0</v>
      </c>
      <c r="E54" s="15">
        <v>0</v>
      </c>
      <c r="F54" s="43">
        <v>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</row>
    <row r="55" spans="1:231" ht="15" customHeight="1" x14ac:dyDescent="0.25">
      <c r="A55" s="13" t="s">
        <v>136</v>
      </c>
      <c r="B55" s="43">
        <v>0</v>
      </c>
      <c r="C55" s="15">
        <v>0</v>
      </c>
      <c r="D55" s="43">
        <v>0</v>
      </c>
      <c r="E55" s="15">
        <v>0</v>
      </c>
      <c r="F55" s="43">
        <v>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</row>
    <row r="56" spans="1:231" ht="15" customHeight="1" x14ac:dyDescent="0.25">
      <c r="A56" s="14" t="s">
        <v>137</v>
      </c>
      <c r="B56" s="44">
        <v>0</v>
      </c>
      <c r="C56" s="56">
        <v>0</v>
      </c>
      <c r="D56" s="44">
        <v>0</v>
      </c>
      <c r="E56" s="56">
        <v>0</v>
      </c>
      <c r="F56" s="44">
        <v>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</row>
    <row r="57" spans="1:231" ht="15" customHeight="1" x14ac:dyDescent="0.25">
      <c r="A57" s="23" t="s">
        <v>138</v>
      </c>
      <c r="B57" s="41">
        <f>SUM(B48:B56)</f>
        <v>4500000</v>
      </c>
      <c r="C57" s="54">
        <f>SUM(C48:C56)</f>
        <v>5071887</v>
      </c>
      <c r="D57" s="41">
        <f>SUM(D48:D56)</f>
        <v>3000000</v>
      </c>
      <c r="E57" s="54">
        <v>1700000</v>
      </c>
      <c r="F57" s="41">
        <f>SUM(F48:F56)</f>
        <v>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</row>
    <row r="58" spans="1:231" ht="15" customHeight="1" x14ac:dyDescent="0.25">
      <c r="A58" s="30"/>
      <c r="B58" s="42"/>
      <c r="C58" s="55"/>
      <c r="D58" s="42"/>
      <c r="E58" s="55"/>
      <c r="F58" s="4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</row>
    <row r="59" spans="1:231" ht="15" customHeight="1" x14ac:dyDescent="0.25">
      <c r="A59" s="21" t="s">
        <v>139</v>
      </c>
      <c r="B59" s="43"/>
      <c r="C59" s="15"/>
      <c r="D59" s="43"/>
      <c r="E59" s="15"/>
      <c r="F59" s="4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</row>
    <row r="60" spans="1:231" ht="15" customHeight="1" x14ac:dyDescent="0.25">
      <c r="A60" s="13" t="s">
        <v>170</v>
      </c>
      <c r="B60" s="43">
        <v>0</v>
      </c>
      <c r="C60" s="15">
        <v>0</v>
      </c>
      <c r="D60" s="43">
        <v>0</v>
      </c>
      <c r="E60" s="15">
        <v>0</v>
      </c>
      <c r="F60" s="43">
        <v>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</row>
    <row r="61" spans="1:231" ht="15" customHeight="1" x14ac:dyDescent="0.25">
      <c r="A61" s="13" t="s">
        <v>44</v>
      </c>
      <c r="B61" s="43">
        <v>0</v>
      </c>
      <c r="C61" s="15">
        <v>0</v>
      </c>
      <c r="D61" s="43">
        <v>0</v>
      </c>
      <c r="E61" s="15"/>
      <c r="F61" s="4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</row>
    <row r="62" spans="1:231" ht="15" customHeight="1" x14ac:dyDescent="0.25">
      <c r="A62" s="31"/>
      <c r="B62" s="44"/>
      <c r="C62" s="56"/>
      <c r="D62" s="44"/>
      <c r="E62" s="56"/>
      <c r="F62" s="4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</row>
    <row r="63" spans="1:231" ht="15" customHeight="1" x14ac:dyDescent="0.25">
      <c r="A63" s="23" t="s">
        <v>142</v>
      </c>
      <c r="B63" s="41">
        <f>SUM(B60:B62)</f>
        <v>0</v>
      </c>
      <c r="C63" s="54">
        <f>SUM(C60:C62)</f>
        <v>0</v>
      </c>
      <c r="D63" s="41">
        <f>SUM(D60:D62)</f>
        <v>0</v>
      </c>
      <c r="E63" s="54">
        <f>SUM(E60:E62)</f>
        <v>0</v>
      </c>
      <c r="F63" s="41">
        <f>SUM(F60:F62)</f>
        <v>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</row>
    <row r="64" spans="1:231" ht="15" customHeight="1" x14ac:dyDescent="0.25">
      <c r="A64" s="30"/>
      <c r="B64" s="42"/>
      <c r="C64" s="55"/>
      <c r="D64" s="42"/>
      <c r="E64" s="55"/>
      <c r="F64" s="4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</row>
    <row r="65" spans="1:231" ht="15" customHeight="1" x14ac:dyDescent="0.25">
      <c r="A65" s="21" t="s">
        <v>143</v>
      </c>
      <c r="B65" s="43"/>
      <c r="C65" s="15"/>
      <c r="D65" s="43"/>
      <c r="E65" s="15"/>
      <c r="F65" s="4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</row>
    <row r="66" spans="1:231" ht="15" customHeight="1" x14ac:dyDescent="0.25">
      <c r="A66" s="13" t="s">
        <v>144</v>
      </c>
      <c r="B66" s="43">
        <v>0</v>
      </c>
      <c r="C66" s="15">
        <v>0</v>
      </c>
      <c r="D66" s="43">
        <v>0</v>
      </c>
      <c r="E66" s="15">
        <v>0</v>
      </c>
      <c r="F66" s="43">
        <v>0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</row>
    <row r="67" spans="1:231" ht="15" customHeight="1" x14ac:dyDescent="0.25">
      <c r="A67" s="13" t="s">
        <v>145</v>
      </c>
      <c r="B67" s="43">
        <v>0</v>
      </c>
      <c r="C67" s="15">
        <v>0</v>
      </c>
      <c r="D67" s="43">
        <v>0</v>
      </c>
      <c r="E67" s="15">
        <v>0</v>
      </c>
      <c r="F67" s="43">
        <v>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</row>
    <row r="68" spans="1:231" ht="15" customHeight="1" x14ac:dyDescent="0.25">
      <c r="A68" s="13" t="s">
        <v>146</v>
      </c>
      <c r="B68" s="43">
        <v>0</v>
      </c>
      <c r="C68" s="15">
        <v>0</v>
      </c>
      <c r="D68" s="43">
        <v>0</v>
      </c>
      <c r="E68" s="15">
        <v>0</v>
      </c>
      <c r="F68" s="43">
        <v>0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</row>
    <row r="69" spans="1:231" ht="15" customHeight="1" x14ac:dyDescent="0.25">
      <c r="A69" s="14" t="s">
        <v>147</v>
      </c>
      <c r="B69" s="44">
        <v>0</v>
      </c>
      <c r="C69" s="56">
        <v>0</v>
      </c>
      <c r="D69" s="44">
        <v>0</v>
      </c>
      <c r="E69" s="56">
        <v>0</v>
      </c>
      <c r="F69" s="44">
        <v>0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</row>
    <row r="70" spans="1:231" ht="15" customHeight="1" x14ac:dyDescent="0.25">
      <c r="A70" s="23" t="s">
        <v>148</v>
      </c>
      <c r="B70" s="41">
        <f>SUM(B66:B69)</f>
        <v>0</v>
      </c>
      <c r="C70" s="54">
        <f>SUM(C66:C69)</f>
        <v>0</v>
      </c>
      <c r="D70" s="41">
        <f>SUM(D66:D69)</f>
        <v>0</v>
      </c>
      <c r="E70" s="54">
        <f>SUM(E66:E69)</f>
        <v>0</v>
      </c>
      <c r="F70" s="41">
        <f>SUM(F66:F69)</f>
        <v>0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</row>
    <row r="71" spans="1:231" ht="15.75" customHeight="1" x14ac:dyDescent="0.25">
      <c r="A71" s="32"/>
      <c r="B71" s="47"/>
      <c r="C71" s="59"/>
      <c r="D71" s="47"/>
      <c r="E71" s="59"/>
      <c r="F71" s="47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</row>
    <row r="72" spans="1:231" ht="16.5" customHeight="1" thickBot="1" x14ac:dyDescent="0.3">
      <c r="A72" s="33" t="s">
        <v>149</v>
      </c>
      <c r="B72" s="48">
        <f>B70+B63+B57</f>
        <v>4500000</v>
      </c>
      <c r="C72" s="60">
        <f>C70+C63+C57</f>
        <v>5071887</v>
      </c>
      <c r="D72" s="48">
        <f>D70+D63+D57</f>
        <v>3000000</v>
      </c>
      <c r="E72" s="60">
        <f>E70+E63+E57</f>
        <v>1700000</v>
      </c>
      <c r="F72" s="48">
        <f>F70+F63+F57</f>
        <v>0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</row>
  </sheetData>
  <mergeCells count="6">
    <mergeCell ref="A7:F7"/>
    <mergeCell ref="A1:F1"/>
    <mergeCell ref="A3:F3"/>
    <mergeCell ref="A4:F4"/>
    <mergeCell ref="A5:F5"/>
    <mergeCell ref="A6:F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G84"/>
  <sheetViews>
    <sheetView zoomScale="70" zoomScaleNormal="70" workbookViewId="0">
      <pane xSplit="1" ySplit="11" topLeftCell="B75" activePane="bottomRight" state="frozen"/>
      <selection pane="topRight" activeCell="B1" sqref="B1"/>
      <selection pane="bottomLeft" activeCell="A12" sqref="A12"/>
      <selection pane="bottomRight" activeCell="AE1" sqref="AE1:AE1048576"/>
    </sheetView>
  </sheetViews>
  <sheetFormatPr defaultColWidth="12.85546875" defaultRowHeight="15" x14ac:dyDescent="0.25"/>
  <cols>
    <col min="1" max="1" width="46.42578125" style="8" customWidth="1"/>
    <col min="2" max="5" width="12.85546875" style="8"/>
    <col min="6" max="6" width="3" style="8" customWidth="1"/>
    <col min="7" max="7" width="12.85546875" style="8"/>
    <col min="8" max="8" width="16.140625" style="8" bestFit="1" customWidth="1"/>
    <col min="9" max="10" width="12.85546875" style="8"/>
    <col min="11" max="11" width="3.28515625" style="8" hidden="1" customWidth="1"/>
    <col min="12" max="12" width="8" style="8" hidden="1" customWidth="1"/>
    <col min="13" max="13" width="7" style="8" hidden="1" customWidth="1"/>
    <col min="14" max="14" width="6.7109375" style="8" hidden="1" customWidth="1"/>
    <col min="15" max="15" width="7.140625" style="8" hidden="1" customWidth="1"/>
    <col min="16" max="16" width="2.7109375" style="8" hidden="1" customWidth="1"/>
    <col min="17" max="17" width="6.85546875" style="8" hidden="1" customWidth="1"/>
    <col min="18" max="18" width="7" style="8" hidden="1" customWidth="1"/>
    <col min="19" max="19" width="7.28515625" style="8" hidden="1" customWidth="1"/>
    <col min="20" max="20" width="6.7109375" style="8" hidden="1" customWidth="1"/>
    <col min="21" max="21" width="3.28515625" style="8" customWidth="1"/>
    <col min="22" max="25" width="12.85546875" style="8"/>
    <col min="26" max="26" width="3.7109375" style="8" customWidth="1"/>
    <col min="27" max="29" width="12.85546875" style="8"/>
    <col min="30" max="30" width="3.28515625" style="8" customWidth="1"/>
    <col min="31" max="31" width="31.7109375" style="8" hidden="1" customWidth="1"/>
    <col min="32" max="32" width="21.42578125" customWidth="1"/>
  </cols>
  <sheetData>
    <row r="1" spans="1:31" ht="18.75" x14ac:dyDescent="0.25">
      <c r="A1" s="839" t="s">
        <v>0</v>
      </c>
      <c r="B1" s="840"/>
      <c r="C1" s="840"/>
      <c r="D1" s="840"/>
      <c r="E1" s="840"/>
      <c r="F1" s="840"/>
      <c r="G1" s="840"/>
      <c r="H1" s="840"/>
      <c r="I1" s="112"/>
      <c r="J1" s="112"/>
      <c r="K1" s="1"/>
      <c r="L1" s="1"/>
      <c r="M1" s="1"/>
      <c r="N1" s="1"/>
      <c r="O1" s="1"/>
      <c r="P1" s="62"/>
      <c r="Q1" s="112"/>
      <c r="R1" s="113"/>
      <c r="S1" s="114"/>
      <c r="T1" s="113"/>
      <c r="U1" s="62"/>
      <c r="V1" s="62"/>
      <c r="W1" s="62"/>
      <c r="X1" s="62"/>
      <c r="Y1" s="62"/>
      <c r="Z1" s="62"/>
      <c r="AA1" s="62"/>
      <c r="AB1" s="62"/>
      <c r="AC1" s="62"/>
      <c r="AD1" s="62"/>
      <c r="AE1" s="63"/>
    </row>
    <row r="2" spans="1:31" ht="18.75" x14ac:dyDescent="0.25">
      <c r="A2" s="125"/>
      <c r="B2" s="126"/>
      <c r="C2" s="126"/>
      <c r="D2" s="126"/>
      <c r="E2" s="126"/>
      <c r="F2" s="126"/>
      <c r="G2" s="126"/>
      <c r="H2" s="126"/>
      <c r="I2" s="115"/>
      <c r="J2" s="115"/>
      <c r="K2" s="4"/>
      <c r="L2" s="5"/>
      <c r="M2" s="5"/>
      <c r="N2" s="5"/>
      <c r="O2" s="5"/>
      <c r="P2" s="4"/>
      <c r="Q2" s="115"/>
      <c r="R2" s="116"/>
      <c r="S2" s="117"/>
      <c r="T2" s="116"/>
      <c r="U2" s="4"/>
      <c r="V2" s="65"/>
      <c r="W2" s="65"/>
      <c r="X2" s="65"/>
      <c r="Y2" s="65"/>
      <c r="Z2" s="4"/>
      <c r="AA2" s="65"/>
      <c r="AB2" s="65"/>
      <c r="AC2" s="65"/>
      <c r="AD2" s="4"/>
      <c r="AE2" s="66"/>
    </row>
    <row r="3" spans="1:31" s="100" customFormat="1" ht="18.75" x14ac:dyDescent="0.25">
      <c r="A3" s="837" t="s">
        <v>188</v>
      </c>
      <c r="B3" s="838"/>
      <c r="C3" s="838"/>
      <c r="D3" s="838"/>
      <c r="E3" s="838"/>
      <c r="F3" s="838"/>
      <c r="G3" s="838"/>
      <c r="H3" s="838"/>
      <c r="I3" s="118"/>
      <c r="J3" s="118"/>
      <c r="K3" s="97"/>
      <c r="L3" s="97"/>
      <c r="M3" s="97"/>
      <c r="N3" s="97"/>
      <c r="O3" s="97"/>
      <c r="P3" s="98"/>
      <c r="Q3" s="118"/>
      <c r="R3" s="119"/>
      <c r="S3" s="120"/>
      <c r="T3" s="119"/>
      <c r="U3" s="98"/>
      <c r="V3" s="98"/>
      <c r="W3" s="98"/>
      <c r="X3" s="98"/>
      <c r="Y3" s="98"/>
      <c r="Z3" s="98"/>
      <c r="AA3" s="98"/>
      <c r="AB3" s="98"/>
      <c r="AC3" s="98"/>
      <c r="AD3" s="98"/>
      <c r="AE3" s="99"/>
    </row>
    <row r="4" spans="1:31" ht="18.75" x14ac:dyDescent="0.25">
      <c r="A4" s="843" t="s">
        <v>2</v>
      </c>
      <c r="B4" s="844"/>
      <c r="C4" s="844"/>
      <c r="D4" s="844"/>
      <c r="E4" s="844"/>
      <c r="F4" s="844"/>
      <c r="G4" s="844"/>
      <c r="H4" s="844"/>
      <c r="I4" s="127"/>
      <c r="J4" s="127"/>
      <c r="K4" s="67"/>
      <c r="L4" s="67"/>
      <c r="M4" s="67"/>
      <c r="N4" s="67"/>
      <c r="O4" s="67"/>
      <c r="P4" s="65"/>
      <c r="Q4" s="121"/>
      <c r="R4" s="122"/>
      <c r="S4" s="117"/>
      <c r="T4" s="122"/>
      <c r="U4" s="65"/>
      <c r="V4" s="65"/>
      <c r="W4" s="65"/>
      <c r="X4" s="65"/>
      <c r="Y4" s="65"/>
      <c r="Z4" s="65"/>
      <c r="AA4" s="65"/>
      <c r="AB4" s="68"/>
      <c r="AC4" s="65"/>
      <c r="AD4" s="65"/>
      <c r="AE4" s="66"/>
    </row>
    <row r="5" spans="1:31" ht="18.75" x14ac:dyDescent="0.25">
      <c r="A5" s="843" t="s">
        <v>3</v>
      </c>
      <c r="B5" s="845"/>
      <c r="C5" s="845"/>
      <c r="D5" s="845"/>
      <c r="E5" s="845"/>
      <c r="F5" s="845"/>
      <c r="G5" s="845"/>
      <c r="H5" s="845"/>
      <c r="I5" s="115"/>
      <c r="J5" s="115"/>
      <c r="K5" s="67"/>
      <c r="L5" s="67"/>
      <c r="M5" s="67"/>
      <c r="N5" s="67"/>
      <c r="O5" s="67"/>
      <c r="P5" s="65"/>
      <c r="Q5" s="121"/>
      <c r="R5" s="122"/>
      <c r="S5" s="117"/>
      <c r="T5" s="122"/>
      <c r="U5" s="65"/>
      <c r="V5" s="65"/>
      <c r="W5" s="65"/>
      <c r="X5" s="65"/>
      <c r="Y5" s="65"/>
      <c r="Z5" s="65"/>
      <c r="AA5" s="65"/>
      <c r="AB5" s="68"/>
      <c r="AC5" s="65"/>
      <c r="AD5" s="65"/>
      <c r="AE5" s="66"/>
    </row>
    <row r="6" spans="1:31" s="100" customFormat="1" ht="18.75" x14ac:dyDescent="0.25">
      <c r="A6" s="837" t="s">
        <v>4</v>
      </c>
      <c r="B6" s="846"/>
      <c r="C6" s="846"/>
      <c r="D6" s="846"/>
      <c r="E6" s="846"/>
      <c r="F6" s="846"/>
      <c r="G6" s="846"/>
      <c r="H6" s="846"/>
      <c r="I6" s="118"/>
      <c r="J6" s="118"/>
      <c r="K6" s="101"/>
      <c r="L6" s="101"/>
      <c r="M6" s="101"/>
      <c r="N6" s="101"/>
      <c r="O6" s="101"/>
      <c r="P6" s="98"/>
      <c r="Q6" s="123"/>
      <c r="R6" s="124"/>
      <c r="S6" s="120"/>
      <c r="T6" s="124"/>
      <c r="U6" s="98"/>
      <c r="V6" s="98"/>
      <c r="W6" s="98"/>
      <c r="X6" s="98"/>
      <c r="Y6" s="98"/>
      <c r="Z6" s="98"/>
      <c r="AA6" s="102"/>
      <c r="AB6" s="103"/>
      <c r="AC6" s="98"/>
      <c r="AD6" s="98"/>
      <c r="AE6" s="99"/>
    </row>
    <row r="7" spans="1:31" s="100" customFormat="1" ht="18.75" x14ac:dyDescent="0.25">
      <c r="A7" s="837" t="s">
        <v>5</v>
      </c>
      <c r="B7" s="838"/>
      <c r="C7" s="838"/>
      <c r="D7" s="838"/>
      <c r="E7" s="838"/>
      <c r="F7" s="838"/>
      <c r="G7" s="838"/>
      <c r="H7" s="838"/>
      <c r="I7" s="128"/>
      <c r="J7" s="128"/>
      <c r="K7" s="101"/>
      <c r="L7" s="101"/>
      <c r="M7" s="101"/>
      <c r="N7" s="101"/>
      <c r="O7" s="101"/>
      <c r="P7" s="98"/>
      <c r="Q7" s="123"/>
      <c r="R7" s="124"/>
      <c r="S7" s="120"/>
      <c r="T7" s="124"/>
      <c r="U7" s="98"/>
      <c r="V7" s="98"/>
      <c r="W7" s="98"/>
      <c r="X7" s="98"/>
      <c r="Y7" s="98"/>
      <c r="Z7" s="98"/>
      <c r="AA7" s="98"/>
      <c r="AB7" s="256"/>
      <c r="AC7" s="98"/>
      <c r="AD7" s="98"/>
      <c r="AE7" s="99"/>
    </row>
    <row r="8" spans="1:31" ht="27" thickBot="1" x14ac:dyDescent="0.3">
      <c r="A8" s="69"/>
      <c r="B8" s="168"/>
      <c r="C8" s="65"/>
      <c r="D8" s="65"/>
      <c r="E8" s="65"/>
      <c r="F8" s="70"/>
      <c r="G8" s="65"/>
      <c r="H8" s="65"/>
      <c r="I8" s="65"/>
      <c r="J8" s="65"/>
      <c r="K8" s="70"/>
      <c r="L8" s="65"/>
      <c r="M8" s="65"/>
      <c r="N8" s="65"/>
      <c r="O8" s="65"/>
      <c r="P8" s="70"/>
      <c r="Q8" s="65"/>
      <c r="R8" s="65"/>
      <c r="S8" s="235"/>
      <c r="T8" s="65"/>
      <c r="U8" s="70"/>
      <c r="V8" s="65"/>
      <c r="W8" s="65"/>
      <c r="X8" s="65"/>
      <c r="Y8" s="65"/>
      <c r="Z8" s="70"/>
      <c r="AA8" s="65"/>
      <c r="AB8" s="68"/>
      <c r="AC8" s="65"/>
      <c r="AD8" s="70"/>
      <c r="AE8" s="71"/>
    </row>
    <row r="9" spans="1:31" ht="15.75" x14ac:dyDescent="0.25">
      <c r="A9" s="140"/>
      <c r="B9" s="852" t="s">
        <v>6</v>
      </c>
      <c r="C9" s="853"/>
      <c r="D9" s="853"/>
      <c r="E9" s="854"/>
      <c r="F9" s="200"/>
      <c r="G9" s="852" t="s">
        <v>7</v>
      </c>
      <c r="H9" s="853"/>
      <c r="I9" s="853"/>
      <c r="J9" s="854"/>
      <c r="K9" s="200"/>
      <c r="L9" s="855" t="s">
        <v>8</v>
      </c>
      <c r="M9" s="856"/>
      <c r="N9" s="856"/>
      <c r="O9" s="857"/>
      <c r="P9" s="200"/>
      <c r="Q9" s="852" t="s">
        <v>9</v>
      </c>
      <c r="R9" s="853"/>
      <c r="S9" s="853"/>
      <c r="T9" s="854"/>
      <c r="U9" s="200"/>
      <c r="V9" s="855" t="s">
        <v>10</v>
      </c>
      <c r="W9" s="856"/>
      <c r="X9" s="856"/>
      <c r="Y9" s="857"/>
      <c r="Z9" s="200"/>
      <c r="AA9" s="855" t="s">
        <v>11</v>
      </c>
      <c r="AB9" s="856"/>
      <c r="AC9" s="857"/>
      <c r="AD9" s="158"/>
      <c r="AE9" s="847" t="s">
        <v>12</v>
      </c>
    </row>
    <row r="10" spans="1:31" ht="31.5" x14ac:dyDescent="0.25">
      <c r="A10" s="141" t="s">
        <v>13</v>
      </c>
      <c r="B10" s="169" t="s">
        <v>14</v>
      </c>
      <c r="C10" s="104" t="s">
        <v>15</v>
      </c>
      <c r="D10" s="850" t="s">
        <v>16</v>
      </c>
      <c r="E10" s="851"/>
      <c r="F10" s="201"/>
      <c r="G10" s="169" t="s">
        <v>14</v>
      </c>
      <c r="H10" s="104" t="s">
        <v>15</v>
      </c>
      <c r="I10" s="850" t="s">
        <v>16</v>
      </c>
      <c r="J10" s="851"/>
      <c r="K10" s="201"/>
      <c r="L10" s="169" t="s">
        <v>14</v>
      </c>
      <c r="M10" s="104" t="s">
        <v>15</v>
      </c>
      <c r="N10" s="850" t="s">
        <v>16</v>
      </c>
      <c r="O10" s="851"/>
      <c r="P10" s="201"/>
      <c r="Q10" s="169" t="s">
        <v>14</v>
      </c>
      <c r="R10" s="104" t="s">
        <v>15</v>
      </c>
      <c r="S10" s="850" t="s">
        <v>16</v>
      </c>
      <c r="T10" s="851"/>
      <c r="U10" s="201"/>
      <c r="V10" s="169" t="s">
        <v>14</v>
      </c>
      <c r="W10" s="104" t="s">
        <v>15</v>
      </c>
      <c r="X10" s="850" t="s">
        <v>16</v>
      </c>
      <c r="Y10" s="851"/>
      <c r="Z10" s="201"/>
      <c r="AA10" s="247" t="s">
        <v>17</v>
      </c>
      <c r="AB10" s="850" t="s">
        <v>18</v>
      </c>
      <c r="AC10" s="851"/>
      <c r="AD10" s="159"/>
      <c r="AE10" s="848"/>
    </row>
    <row r="11" spans="1:31" ht="16.5" thickBot="1" x14ac:dyDescent="0.3">
      <c r="A11" s="142"/>
      <c r="B11" s="170" t="s">
        <v>19</v>
      </c>
      <c r="C11" s="105" t="s">
        <v>19</v>
      </c>
      <c r="D11" s="106" t="s">
        <v>19</v>
      </c>
      <c r="E11" s="171" t="s">
        <v>20</v>
      </c>
      <c r="F11" s="202"/>
      <c r="G11" s="209" t="s">
        <v>19</v>
      </c>
      <c r="H11" s="107" t="s">
        <v>19</v>
      </c>
      <c r="I11" s="108" t="s">
        <v>19</v>
      </c>
      <c r="J11" s="210" t="s">
        <v>20</v>
      </c>
      <c r="K11" s="202"/>
      <c r="L11" s="209" t="s">
        <v>19</v>
      </c>
      <c r="M11" s="107" t="s">
        <v>19</v>
      </c>
      <c r="N11" s="108" t="s">
        <v>19</v>
      </c>
      <c r="O11" s="210" t="s">
        <v>20</v>
      </c>
      <c r="P11" s="202"/>
      <c r="Q11" s="209" t="s">
        <v>19</v>
      </c>
      <c r="R11" s="107" t="s">
        <v>19</v>
      </c>
      <c r="S11" s="108" t="s">
        <v>19</v>
      </c>
      <c r="T11" s="210" t="s">
        <v>20</v>
      </c>
      <c r="U11" s="202"/>
      <c r="V11" s="209" t="s">
        <v>19</v>
      </c>
      <c r="W11" s="107" t="s">
        <v>19</v>
      </c>
      <c r="X11" s="108" t="s">
        <v>19</v>
      </c>
      <c r="Y11" s="210" t="s">
        <v>20</v>
      </c>
      <c r="Z11" s="202"/>
      <c r="AA11" s="209" t="s">
        <v>19</v>
      </c>
      <c r="AB11" s="108" t="s">
        <v>19</v>
      </c>
      <c r="AC11" s="210" t="s">
        <v>20</v>
      </c>
      <c r="AD11" s="160"/>
      <c r="AE11" s="849"/>
    </row>
    <row r="12" spans="1:31" ht="15.75" x14ac:dyDescent="0.25">
      <c r="A12" s="143" t="s">
        <v>21</v>
      </c>
      <c r="B12" s="172"/>
      <c r="C12" s="72"/>
      <c r="D12" s="72"/>
      <c r="E12" s="173"/>
      <c r="F12" s="203"/>
      <c r="G12" s="184"/>
      <c r="H12" s="73"/>
      <c r="I12" s="73"/>
      <c r="J12" s="185"/>
      <c r="K12" s="203"/>
      <c r="L12" s="184"/>
      <c r="M12" s="73"/>
      <c r="N12" s="73"/>
      <c r="O12" s="185"/>
      <c r="P12" s="203"/>
      <c r="Q12" s="184"/>
      <c r="R12" s="73"/>
      <c r="S12" s="73"/>
      <c r="T12" s="185"/>
      <c r="U12" s="203"/>
      <c r="V12" s="184"/>
      <c r="W12" s="73"/>
      <c r="X12" s="73"/>
      <c r="Y12" s="185"/>
      <c r="Z12" s="203"/>
      <c r="AA12" s="184"/>
      <c r="AB12" s="73"/>
      <c r="AC12" s="185"/>
      <c r="AD12" s="161"/>
      <c r="AE12" s="74"/>
    </row>
    <row r="13" spans="1:31" ht="15.75" x14ac:dyDescent="0.25">
      <c r="A13" s="144" t="s">
        <v>151</v>
      </c>
      <c r="B13" s="174">
        <v>0</v>
      </c>
      <c r="C13" s="75">
        <v>0</v>
      </c>
      <c r="D13" s="76">
        <f t="shared" ref="D13:D22" si="0">C13-B13</f>
        <v>0</v>
      </c>
      <c r="E13" s="175" t="str">
        <f t="shared" ref="E13:E23" si="1">IF(ISERROR(D13/B13),"-",D13/B13)</f>
        <v>-</v>
      </c>
      <c r="F13" s="204"/>
      <c r="G13" s="174">
        <v>0</v>
      </c>
      <c r="H13" s="75">
        <v>0</v>
      </c>
      <c r="I13" s="76">
        <f t="shared" ref="I13:I22" si="2">H13-G13</f>
        <v>0</v>
      </c>
      <c r="J13" s="175" t="str">
        <f t="shared" ref="J13:J23" si="3">IF(ISERROR(I13/G13),"-",I13/G13)</f>
        <v>-</v>
      </c>
      <c r="K13" s="204"/>
      <c r="L13" s="174">
        <v>0</v>
      </c>
      <c r="M13" s="75">
        <v>0</v>
      </c>
      <c r="N13" s="76">
        <f t="shared" ref="N13:N22" si="4">M13-L13</f>
        <v>0</v>
      </c>
      <c r="O13" s="175" t="str">
        <f t="shared" ref="O13:O23" si="5">IF(ISERROR(N13/L13),"-",N13/L13)</f>
        <v>-</v>
      </c>
      <c r="P13" s="204"/>
      <c r="Q13" s="174">
        <v>0</v>
      </c>
      <c r="R13" s="75">
        <v>0</v>
      </c>
      <c r="S13" s="76">
        <f t="shared" ref="S13:S22" si="6">R13-Q13</f>
        <v>0</v>
      </c>
      <c r="T13" s="175" t="str">
        <f t="shared" ref="T13:T27" si="7">IF(ISERROR(S13/Q13),"-",S13/Q13)</f>
        <v>-</v>
      </c>
      <c r="U13" s="204"/>
      <c r="V13" s="181">
        <f t="shared" ref="V13:V22" si="8">B13+G13+L13+Q13</f>
        <v>0</v>
      </c>
      <c r="W13" s="76">
        <f t="shared" ref="W13:W22" si="9">C13+H13+M13+R13</f>
        <v>0</v>
      </c>
      <c r="X13" s="76">
        <f t="shared" ref="X13:X22" si="10">W13-V13</f>
        <v>0</v>
      </c>
      <c r="Y13" s="175" t="str">
        <f t="shared" ref="Y13:Y23" si="11">IF(ISERROR(X13/V13),"-",X13/V13)</f>
        <v>-</v>
      </c>
      <c r="Z13" s="204"/>
      <c r="AA13" s="181">
        <v>0</v>
      </c>
      <c r="AB13" s="76">
        <f t="shared" ref="AB13:AB22" si="12">AA13-W13</f>
        <v>0</v>
      </c>
      <c r="AC13" s="175" t="str">
        <f t="shared" ref="AC13:AC23" si="13">IF(ISERROR(AB13/AA13),"-",AB13/AA13)</f>
        <v>-</v>
      </c>
      <c r="AD13" s="162"/>
      <c r="AE13" s="77"/>
    </row>
    <row r="14" spans="1:31" ht="15.75" x14ac:dyDescent="0.25">
      <c r="A14" s="145" t="s">
        <v>152</v>
      </c>
      <c r="B14" s="174">
        <v>0</v>
      </c>
      <c r="C14" s="75">
        <v>0</v>
      </c>
      <c r="D14" s="76">
        <f t="shared" si="0"/>
        <v>0</v>
      </c>
      <c r="E14" s="175" t="str">
        <f t="shared" si="1"/>
        <v>-</v>
      </c>
      <c r="F14" s="205"/>
      <c r="G14" s="174">
        <v>0</v>
      </c>
      <c r="H14" s="75">
        <v>0</v>
      </c>
      <c r="I14" s="76">
        <f t="shared" si="2"/>
        <v>0</v>
      </c>
      <c r="J14" s="175" t="str">
        <f t="shared" si="3"/>
        <v>-</v>
      </c>
      <c r="K14" s="205"/>
      <c r="L14" s="174">
        <v>0</v>
      </c>
      <c r="M14" s="75">
        <v>0</v>
      </c>
      <c r="N14" s="76">
        <f t="shared" si="4"/>
        <v>0</v>
      </c>
      <c r="O14" s="175" t="str">
        <f t="shared" si="5"/>
        <v>-</v>
      </c>
      <c r="P14" s="205"/>
      <c r="Q14" s="174">
        <v>0</v>
      </c>
      <c r="R14" s="75">
        <v>0</v>
      </c>
      <c r="S14" s="76">
        <f t="shared" si="6"/>
        <v>0</v>
      </c>
      <c r="T14" s="175" t="str">
        <f t="shared" si="7"/>
        <v>-</v>
      </c>
      <c r="U14" s="205"/>
      <c r="V14" s="181">
        <f t="shared" si="8"/>
        <v>0</v>
      </c>
      <c r="W14" s="76">
        <f t="shared" si="9"/>
        <v>0</v>
      </c>
      <c r="X14" s="76">
        <f t="shared" si="10"/>
        <v>0</v>
      </c>
      <c r="Y14" s="175" t="str">
        <f t="shared" si="11"/>
        <v>-</v>
      </c>
      <c r="Z14" s="205"/>
      <c r="AA14" s="181">
        <v>0</v>
      </c>
      <c r="AB14" s="76">
        <f t="shared" si="12"/>
        <v>0</v>
      </c>
      <c r="AC14" s="175" t="str">
        <f t="shared" si="13"/>
        <v>-</v>
      </c>
      <c r="AD14" s="163"/>
      <c r="AE14" s="78"/>
    </row>
    <row r="15" spans="1:31" ht="15.75" x14ac:dyDescent="0.25">
      <c r="A15" s="145" t="s">
        <v>24</v>
      </c>
      <c r="B15" s="174">
        <v>610</v>
      </c>
      <c r="C15" s="75">
        <v>395</v>
      </c>
      <c r="D15" s="76">
        <f t="shared" si="0"/>
        <v>-215</v>
      </c>
      <c r="E15" s="175">
        <f t="shared" si="1"/>
        <v>-0.35245901639344263</v>
      </c>
      <c r="F15" s="204"/>
      <c r="G15" s="174">
        <v>100</v>
      </c>
      <c r="H15" s="75">
        <v>1389</v>
      </c>
      <c r="I15" s="76">
        <f t="shared" si="2"/>
        <v>1289</v>
      </c>
      <c r="J15" s="175">
        <f t="shared" si="3"/>
        <v>12.89</v>
      </c>
      <c r="K15" s="204"/>
      <c r="L15" s="174">
        <v>0</v>
      </c>
      <c r="M15" s="75">
        <v>0</v>
      </c>
      <c r="N15" s="76">
        <f t="shared" si="4"/>
        <v>0</v>
      </c>
      <c r="O15" s="176" t="str">
        <f t="shared" si="5"/>
        <v>-</v>
      </c>
      <c r="P15" s="204"/>
      <c r="Q15" s="174">
        <v>0</v>
      </c>
      <c r="R15" s="75">
        <v>0</v>
      </c>
      <c r="S15" s="76">
        <f t="shared" si="6"/>
        <v>0</v>
      </c>
      <c r="T15" s="176" t="str">
        <f t="shared" si="7"/>
        <v>-</v>
      </c>
      <c r="U15" s="204"/>
      <c r="V15" s="181">
        <f t="shared" si="8"/>
        <v>710</v>
      </c>
      <c r="W15" s="76">
        <f t="shared" si="9"/>
        <v>1784</v>
      </c>
      <c r="X15" s="76">
        <f t="shared" si="10"/>
        <v>1074</v>
      </c>
      <c r="Y15" s="175">
        <f t="shared" si="11"/>
        <v>1.5126760563380282</v>
      </c>
      <c r="Z15" s="204"/>
      <c r="AA15" s="181">
        <v>760</v>
      </c>
      <c r="AB15" s="76">
        <f t="shared" si="12"/>
        <v>-1024</v>
      </c>
      <c r="AC15" s="176">
        <f t="shared" si="13"/>
        <v>-1.3473684210526315</v>
      </c>
      <c r="AD15" s="162"/>
      <c r="AE15" s="77"/>
    </row>
    <row r="16" spans="1:31" ht="15.75" x14ac:dyDescent="0.25">
      <c r="A16" s="145" t="s">
        <v>25</v>
      </c>
      <c r="B16" s="174">
        <v>0</v>
      </c>
      <c r="C16" s="75">
        <v>0</v>
      </c>
      <c r="D16" s="76">
        <f t="shared" si="0"/>
        <v>0</v>
      </c>
      <c r="E16" s="175" t="str">
        <f t="shared" si="1"/>
        <v>-</v>
      </c>
      <c r="F16" s="204"/>
      <c r="G16" s="174">
        <v>0</v>
      </c>
      <c r="H16" s="75">
        <v>0</v>
      </c>
      <c r="I16" s="76">
        <f t="shared" si="2"/>
        <v>0</v>
      </c>
      <c r="J16" s="175" t="str">
        <f t="shared" si="3"/>
        <v>-</v>
      </c>
      <c r="K16" s="204"/>
      <c r="L16" s="174">
        <v>0</v>
      </c>
      <c r="M16" s="75">
        <v>0</v>
      </c>
      <c r="N16" s="76">
        <f t="shared" si="4"/>
        <v>0</v>
      </c>
      <c r="O16" s="175" t="str">
        <f t="shared" si="5"/>
        <v>-</v>
      </c>
      <c r="P16" s="204"/>
      <c r="Q16" s="174">
        <v>0</v>
      </c>
      <c r="R16" s="75">
        <v>0</v>
      </c>
      <c r="S16" s="76">
        <f t="shared" si="6"/>
        <v>0</v>
      </c>
      <c r="T16" s="175" t="str">
        <f t="shared" si="7"/>
        <v>-</v>
      </c>
      <c r="U16" s="204"/>
      <c r="V16" s="181">
        <f t="shared" si="8"/>
        <v>0</v>
      </c>
      <c r="W16" s="76">
        <f t="shared" si="9"/>
        <v>0</v>
      </c>
      <c r="X16" s="76">
        <f t="shared" si="10"/>
        <v>0</v>
      </c>
      <c r="Y16" s="175" t="str">
        <f t="shared" si="11"/>
        <v>-</v>
      </c>
      <c r="Z16" s="204"/>
      <c r="AA16" s="181">
        <v>0</v>
      </c>
      <c r="AB16" s="76">
        <f t="shared" si="12"/>
        <v>0</v>
      </c>
      <c r="AC16" s="175" t="str">
        <f t="shared" si="13"/>
        <v>-</v>
      </c>
      <c r="AD16" s="162"/>
      <c r="AE16" s="77"/>
    </row>
    <row r="17" spans="1:31" ht="15.75" x14ac:dyDescent="0.25">
      <c r="A17" s="145" t="s">
        <v>26</v>
      </c>
      <c r="B17" s="174">
        <v>4375</v>
      </c>
      <c r="C17" s="75">
        <f>40+2285+1683</f>
        <v>4008</v>
      </c>
      <c r="D17" s="76">
        <f t="shared" si="0"/>
        <v>-367</v>
      </c>
      <c r="E17" s="175">
        <f t="shared" si="1"/>
        <v>-8.3885714285714286E-2</v>
      </c>
      <c r="F17" s="204"/>
      <c r="G17" s="174">
        <v>0</v>
      </c>
      <c r="H17" s="75">
        <f>30479+134+15009</f>
        <v>45622</v>
      </c>
      <c r="I17" s="76">
        <f t="shared" si="2"/>
        <v>45622</v>
      </c>
      <c r="J17" s="175" t="str">
        <f t="shared" si="3"/>
        <v>-</v>
      </c>
      <c r="K17" s="204"/>
      <c r="L17" s="174">
        <v>0</v>
      </c>
      <c r="M17" s="75">
        <v>0</v>
      </c>
      <c r="N17" s="76">
        <f t="shared" si="4"/>
        <v>0</v>
      </c>
      <c r="O17" s="175" t="str">
        <f t="shared" si="5"/>
        <v>-</v>
      </c>
      <c r="P17" s="204"/>
      <c r="Q17" s="174">
        <v>0</v>
      </c>
      <c r="R17" s="75">
        <v>0</v>
      </c>
      <c r="S17" s="76">
        <f t="shared" si="6"/>
        <v>0</v>
      </c>
      <c r="T17" s="175" t="str">
        <f t="shared" si="7"/>
        <v>-</v>
      </c>
      <c r="U17" s="204"/>
      <c r="V17" s="181">
        <f t="shared" si="8"/>
        <v>4375</v>
      </c>
      <c r="W17" s="76">
        <f t="shared" si="9"/>
        <v>49630</v>
      </c>
      <c r="X17" s="76">
        <f t="shared" si="10"/>
        <v>45255</v>
      </c>
      <c r="Y17" s="175">
        <f t="shared" si="11"/>
        <v>10.343999999999999</v>
      </c>
      <c r="Z17" s="204"/>
      <c r="AA17" s="181">
        <v>4375</v>
      </c>
      <c r="AB17" s="76">
        <f t="shared" si="12"/>
        <v>-45255</v>
      </c>
      <c r="AC17" s="175">
        <f t="shared" si="13"/>
        <v>-10.343999999999999</v>
      </c>
      <c r="AD17" s="162"/>
      <c r="AE17" s="78"/>
    </row>
    <row r="18" spans="1:31" ht="15.75" x14ac:dyDescent="0.25">
      <c r="A18" s="145" t="s">
        <v>27</v>
      </c>
      <c r="B18" s="174">
        <v>348631</v>
      </c>
      <c r="C18" s="75">
        <v>292252</v>
      </c>
      <c r="D18" s="76">
        <f t="shared" si="0"/>
        <v>-56379</v>
      </c>
      <c r="E18" s="175">
        <f t="shared" si="1"/>
        <v>-0.16171539536071089</v>
      </c>
      <c r="F18" s="204"/>
      <c r="G18" s="174">
        <v>118127</v>
      </c>
      <c r="H18" s="75">
        <v>83777</v>
      </c>
      <c r="I18" s="76">
        <f t="shared" si="2"/>
        <v>-34350</v>
      </c>
      <c r="J18" s="175">
        <f t="shared" si="3"/>
        <v>-0.29078872738662626</v>
      </c>
      <c r="K18" s="204"/>
      <c r="L18" s="174">
        <v>0</v>
      </c>
      <c r="M18" s="75">
        <v>0</v>
      </c>
      <c r="N18" s="76">
        <f t="shared" si="4"/>
        <v>0</v>
      </c>
      <c r="O18" s="176" t="str">
        <f t="shared" si="5"/>
        <v>-</v>
      </c>
      <c r="P18" s="204"/>
      <c r="Q18" s="174">
        <v>0</v>
      </c>
      <c r="R18" s="75">
        <v>0</v>
      </c>
      <c r="S18" s="76">
        <f t="shared" si="6"/>
        <v>0</v>
      </c>
      <c r="T18" s="176" t="str">
        <f t="shared" si="7"/>
        <v>-</v>
      </c>
      <c r="U18" s="204"/>
      <c r="V18" s="181">
        <f t="shared" si="8"/>
        <v>466758</v>
      </c>
      <c r="W18" s="76">
        <f t="shared" si="9"/>
        <v>376029</v>
      </c>
      <c r="X18" s="76">
        <f t="shared" si="10"/>
        <v>-90729</v>
      </c>
      <c r="Y18" s="175">
        <f t="shared" si="11"/>
        <v>-0.19438124252824804</v>
      </c>
      <c r="Z18" s="204"/>
      <c r="AA18" s="181">
        <v>566623</v>
      </c>
      <c r="AB18" s="76">
        <f t="shared" si="12"/>
        <v>190594</v>
      </c>
      <c r="AC18" s="176">
        <f t="shared" si="13"/>
        <v>0.33636827308457301</v>
      </c>
      <c r="AD18" s="162"/>
      <c r="AE18" s="77"/>
    </row>
    <row r="19" spans="1:31" ht="15.75" x14ac:dyDescent="0.25">
      <c r="A19" s="289" t="s">
        <v>153</v>
      </c>
      <c r="B19" s="174">
        <v>759794</v>
      </c>
      <c r="C19" s="75">
        <v>592530</v>
      </c>
      <c r="D19" s="76">
        <f t="shared" si="0"/>
        <v>-167264</v>
      </c>
      <c r="E19" s="175">
        <f t="shared" si="1"/>
        <v>-0.22014388110461519</v>
      </c>
      <c r="F19" s="204"/>
      <c r="G19" s="174">
        <v>888795</v>
      </c>
      <c r="H19" s="75">
        <v>1079599</v>
      </c>
      <c r="I19" s="76">
        <f t="shared" si="2"/>
        <v>190804</v>
      </c>
      <c r="J19" s="175">
        <f t="shared" si="3"/>
        <v>0.2146771752766386</v>
      </c>
      <c r="K19" s="204"/>
      <c r="L19" s="174">
        <v>0</v>
      </c>
      <c r="M19" s="75">
        <v>0</v>
      </c>
      <c r="N19" s="76">
        <f t="shared" si="4"/>
        <v>0</v>
      </c>
      <c r="O19" s="176" t="str">
        <f t="shared" si="5"/>
        <v>-</v>
      </c>
      <c r="P19" s="204"/>
      <c r="Q19" s="174">
        <v>0</v>
      </c>
      <c r="R19" s="75">
        <v>0</v>
      </c>
      <c r="S19" s="76">
        <f t="shared" si="6"/>
        <v>0</v>
      </c>
      <c r="T19" s="176" t="str">
        <f t="shared" si="7"/>
        <v>-</v>
      </c>
      <c r="U19" s="204"/>
      <c r="V19" s="181">
        <f t="shared" si="8"/>
        <v>1648589</v>
      </c>
      <c r="W19" s="76">
        <f t="shared" si="9"/>
        <v>1672129</v>
      </c>
      <c r="X19" s="76">
        <f t="shared" si="10"/>
        <v>23540</v>
      </c>
      <c r="Y19" s="175">
        <f t="shared" si="11"/>
        <v>1.427887727019894E-2</v>
      </c>
      <c r="Z19" s="204"/>
      <c r="AA19" s="181">
        <v>3039178</v>
      </c>
      <c r="AB19" s="76">
        <f t="shared" si="12"/>
        <v>1367049</v>
      </c>
      <c r="AC19" s="176">
        <f t="shared" si="13"/>
        <v>0.44980879698392129</v>
      </c>
      <c r="AD19" s="162"/>
      <c r="AE19" s="77"/>
    </row>
    <row r="20" spans="1:31" ht="15.75" x14ac:dyDescent="0.25">
      <c r="A20" s="144" t="s">
        <v>29</v>
      </c>
      <c r="B20" s="174">
        <v>0</v>
      </c>
      <c r="C20" s="75">
        <v>0</v>
      </c>
      <c r="D20" s="76">
        <f t="shared" si="0"/>
        <v>0</v>
      </c>
      <c r="E20" s="175" t="str">
        <f t="shared" si="1"/>
        <v>-</v>
      </c>
      <c r="F20" s="204"/>
      <c r="G20" s="174">
        <v>0</v>
      </c>
      <c r="H20" s="75">
        <v>0</v>
      </c>
      <c r="I20" s="76">
        <f t="shared" si="2"/>
        <v>0</v>
      </c>
      <c r="J20" s="175" t="str">
        <f t="shared" si="3"/>
        <v>-</v>
      </c>
      <c r="K20" s="204"/>
      <c r="L20" s="174">
        <v>0</v>
      </c>
      <c r="M20" s="75">
        <v>0</v>
      </c>
      <c r="N20" s="76">
        <f t="shared" si="4"/>
        <v>0</v>
      </c>
      <c r="O20" s="176" t="str">
        <f t="shared" si="5"/>
        <v>-</v>
      </c>
      <c r="P20" s="204"/>
      <c r="Q20" s="174">
        <v>0</v>
      </c>
      <c r="R20" s="75">
        <v>0</v>
      </c>
      <c r="S20" s="76">
        <f t="shared" si="6"/>
        <v>0</v>
      </c>
      <c r="T20" s="176" t="str">
        <f t="shared" si="7"/>
        <v>-</v>
      </c>
      <c r="U20" s="204"/>
      <c r="V20" s="181">
        <f t="shared" si="8"/>
        <v>0</v>
      </c>
      <c r="W20" s="76">
        <f t="shared" si="9"/>
        <v>0</v>
      </c>
      <c r="X20" s="76">
        <f t="shared" si="10"/>
        <v>0</v>
      </c>
      <c r="Y20" s="175" t="str">
        <f t="shared" si="11"/>
        <v>-</v>
      </c>
      <c r="Z20" s="204"/>
      <c r="AA20" s="181">
        <v>0</v>
      </c>
      <c r="AB20" s="76">
        <f t="shared" si="12"/>
        <v>0</v>
      </c>
      <c r="AC20" s="176" t="str">
        <f t="shared" si="13"/>
        <v>-</v>
      </c>
      <c r="AD20" s="162"/>
      <c r="AE20" s="77"/>
    </row>
    <row r="21" spans="1:31" ht="15.75" x14ac:dyDescent="0.25">
      <c r="A21" s="145" t="s">
        <v>30</v>
      </c>
      <c r="B21" s="174">
        <v>0</v>
      </c>
      <c r="C21" s="75">
        <v>0</v>
      </c>
      <c r="D21" s="76">
        <f t="shared" si="0"/>
        <v>0</v>
      </c>
      <c r="E21" s="175" t="str">
        <f t="shared" si="1"/>
        <v>-</v>
      </c>
      <c r="F21" s="204"/>
      <c r="G21" s="174">
        <v>0</v>
      </c>
      <c r="H21" s="75">
        <v>0</v>
      </c>
      <c r="I21" s="76">
        <f t="shared" si="2"/>
        <v>0</v>
      </c>
      <c r="J21" s="175" t="str">
        <f t="shared" si="3"/>
        <v>-</v>
      </c>
      <c r="K21" s="204"/>
      <c r="L21" s="174">
        <v>0</v>
      </c>
      <c r="M21" s="75">
        <v>0</v>
      </c>
      <c r="N21" s="76">
        <f t="shared" si="4"/>
        <v>0</v>
      </c>
      <c r="O21" s="176" t="str">
        <f t="shared" si="5"/>
        <v>-</v>
      </c>
      <c r="P21" s="204"/>
      <c r="Q21" s="174">
        <v>0</v>
      </c>
      <c r="R21" s="75">
        <v>0</v>
      </c>
      <c r="S21" s="76">
        <f t="shared" si="6"/>
        <v>0</v>
      </c>
      <c r="T21" s="176" t="str">
        <f t="shared" si="7"/>
        <v>-</v>
      </c>
      <c r="U21" s="204"/>
      <c r="V21" s="181">
        <f t="shared" si="8"/>
        <v>0</v>
      </c>
      <c r="W21" s="76">
        <f t="shared" si="9"/>
        <v>0</v>
      </c>
      <c r="X21" s="76">
        <f t="shared" si="10"/>
        <v>0</v>
      </c>
      <c r="Y21" s="175" t="str">
        <f t="shared" si="11"/>
        <v>-</v>
      </c>
      <c r="Z21" s="204"/>
      <c r="AA21" s="181">
        <v>0</v>
      </c>
      <c r="AB21" s="76">
        <f t="shared" si="12"/>
        <v>0</v>
      </c>
      <c r="AC21" s="176" t="str">
        <f t="shared" si="13"/>
        <v>-</v>
      </c>
      <c r="AD21" s="162"/>
      <c r="AE21" s="77"/>
    </row>
    <row r="22" spans="1:31" ht="15.75" x14ac:dyDescent="0.25">
      <c r="A22" s="145" t="s">
        <v>189</v>
      </c>
      <c r="B22" s="255"/>
      <c r="C22" s="254"/>
      <c r="D22" s="79">
        <f t="shared" si="0"/>
        <v>0</v>
      </c>
      <c r="E22" s="175" t="str">
        <f t="shared" si="1"/>
        <v>-</v>
      </c>
      <c r="F22" s="204"/>
      <c r="G22" s="255"/>
      <c r="H22" s="254"/>
      <c r="I22" s="79">
        <f t="shared" si="2"/>
        <v>0</v>
      </c>
      <c r="J22" s="175" t="str">
        <f t="shared" si="3"/>
        <v>-</v>
      </c>
      <c r="K22" s="204"/>
      <c r="L22" s="255">
        <v>0</v>
      </c>
      <c r="M22" s="254"/>
      <c r="N22" s="79">
        <f t="shared" si="4"/>
        <v>0</v>
      </c>
      <c r="O22" s="252" t="str">
        <f t="shared" si="5"/>
        <v>-</v>
      </c>
      <c r="P22" s="204"/>
      <c r="Q22" s="255"/>
      <c r="R22" s="254"/>
      <c r="S22" s="79">
        <f t="shared" si="6"/>
        <v>0</v>
      </c>
      <c r="T22" s="252" t="str">
        <f t="shared" si="7"/>
        <v>-</v>
      </c>
      <c r="U22" s="204"/>
      <c r="V22" s="187">
        <f t="shared" si="8"/>
        <v>0</v>
      </c>
      <c r="W22" s="79">
        <f t="shared" si="9"/>
        <v>0</v>
      </c>
      <c r="X22" s="79">
        <f t="shared" si="10"/>
        <v>0</v>
      </c>
      <c r="Y22" s="175" t="str">
        <f t="shared" si="11"/>
        <v>-</v>
      </c>
      <c r="Z22" s="204"/>
      <c r="AA22" s="187">
        <v>0</v>
      </c>
      <c r="AB22" s="79">
        <f t="shared" si="12"/>
        <v>0</v>
      </c>
      <c r="AC22" s="252" t="str">
        <f t="shared" si="13"/>
        <v>-</v>
      </c>
      <c r="AD22" s="162"/>
      <c r="AE22" s="77"/>
    </row>
    <row r="23" spans="1:31" ht="15.75" x14ac:dyDescent="0.25">
      <c r="A23" s="146" t="s">
        <v>32</v>
      </c>
      <c r="B23" s="177">
        <f>SUM(B13:B22)</f>
        <v>1113410</v>
      </c>
      <c r="C23" s="110">
        <f>SUM(C13:C22)</f>
        <v>889185</v>
      </c>
      <c r="D23" s="110">
        <f>SUM(D13:D22)</f>
        <v>-224225</v>
      </c>
      <c r="E23" s="178">
        <f t="shared" si="1"/>
        <v>-0.20138583271211863</v>
      </c>
      <c r="F23" s="206"/>
      <c r="G23" s="177">
        <f>SUM(G13:G22)</f>
        <v>1007022</v>
      </c>
      <c r="H23" s="110">
        <f>SUM(H13:H22)</f>
        <v>1210387</v>
      </c>
      <c r="I23" s="110">
        <f>SUM(I13:I22)</f>
        <v>203365</v>
      </c>
      <c r="J23" s="178">
        <f t="shared" si="3"/>
        <v>0.20194692866690103</v>
      </c>
      <c r="K23" s="206"/>
      <c r="L23" s="177">
        <f>SUM(L13:L22)</f>
        <v>0</v>
      </c>
      <c r="M23" s="110">
        <f>SUM(M13:M22)</f>
        <v>0</v>
      </c>
      <c r="N23" s="110">
        <f>SUM(N13:N22)</f>
        <v>0</v>
      </c>
      <c r="O23" s="178" t="str">
        <f t="shared" si="5"/>
        <v>-</v>
      </c>
      <c r="P23" s="206"/>
      <c r="Q23" s="177">
        <f>SUM(Q13:Q22)</f>
        <v>0</v>
      </c>
      <c r="R23" s="110">
        <f>SUM(R13:R22)</f>
        <v>0</v>
      </c>
      <c r="S23" s="110">
        <f>SUM(S13:S22)</f>
        <v>0</v>
      </c>
      <c r="T23" s="236" t="str">
        <f t="shared" si="7"/>
        <v>-</v>
      </c>
      <c r="U23" s="206"/>
      <c r="V23" s="177">
        <f>SUM(V13:V22)</f>
        <v>2120432</v>
      </c>
      <c r="W23" s="110">
        <f>SUM(W13:W22)</f>
        <v>2099572</v>
      </c>
      <c r="X23" s="110">
        <f>SUM(X13:X22)</f>
        <v>-20860</v>
      </c>
      <c r="Y23" s="236">
        <f t="shared" si="11"/>
        <v>-9.8376179948236955E-3</v>
      </c>
      <c r="Z23" s="206"/>
      <c r="AA23" s="242">
        <f>SUM(AA13:AA22)</f>
        <v>3610936</v>
      </c>
      <c r="AB23" s="109">
        <f>SUM(AB13:AB22)</f>
        <v>1511364</v>
      </c>
      <c r="AC23" s="248">
        <f t="shared" si="13"/>
        <v>0.41855186577662967</v>
      </c>
      <c r="AD23" s="164"/>
      <c r="AE23" s="80"/>
    </row>
    <row r="24" spans="1:31" ht="15.75" x14ac:dyDescent="0.25">
      <c r="A24" s="147"/>
      <c r="B24" s="179"/>
      <c r="C24" s="81"/>
      <c r="D24" s="81"/>
      <c r="E24" s="180"/>
      <c r="F24" s="204"/>
      <c r="G24" s="211"/>
      <c r="H24" s="129"/>
      <c r="I24" s="129"/>
      <c r="J24" s="212"/>
      <c r="K24" s="204"/>
      <c r="L24" s="179"/>
      <c r="M24" s="81"/>
      <c r="N24" s="81"/>
      <c r="O24" s="180"/>
      <c r="P24" s="204"/>
      <c r="Q24" s="211"/>
      <c r="R24" s="129"/>
      <c r="S24" s="129"/>
      <c r="T24" s="237" t="str">
        <f t="shared" si="7"/>
        <v>-</v>
      </c>
      <c r="U24" s="204"/>
      <c r="V24" s="179"/>
      <c r="W24" s="81"/>
      <c r="X24" s="81"/>
      <c r="Y24" s="180"/>
      <c r="Z24" s="204"/>
      <c r="AA24" s="179"/>
      <c r="AB24" s="81"/>
      <c r="AC24" s="180"/>
      <c r="AD24" s="162"/>
      <c r="AE24" s="77"/>
    </row>
    <row r="25" spans="1:31" ht="15.75" x14ac:dyDescent="0.25">
      <c r="A25" s="148" t="s">
        <v>33</v>
      </c>
      <c r="B25" s="181"/>
      <c r="C25" s="76"/>
      <c r="D25" s="76">
        <f>C25-B25</f>
        <v>0</v>
      </c>
      <c r="E25" s="176" t="str">
        <f>IF(ISERROR(D25/B25),"-",D25/B25)</f>
        <v>-</v>
      </c>
      <c r="F25" s="204"/>
      <c r="G25" s="213">
        <v>0</v>
      </c>
      <c r="H25" s="130">
        <v>0</v>
      </c>
      <c r="I25" s="130">
        <f>H25-G25</f>
        <v>0</v>
      </c>
      <c r="J25" s="214" t="str">
        <f>IF(ISERROR(I25/G25),"-",I25/G25)</f>
        <v>-</v>
      </c>
      <c r="K25" s="204"/>
      <c r="L25" s="181">
        <v>0</v>
      </c>
      <c r="M25" s="76">
        <v>0</v>
      </c>
      <c r="N25" s="76">
        <f>L25-M25</f>
        <v>0</v>
      </c>
      <c r="O25" s="176" t="str">
        <f>IF(ISERROR(N25/L25),"-",N25/L25)</f>
        <v>-</v>
      </c>
      <c r="P25" s="204"/>
      <c r="Q25" s="213"/>
      <c r="R25" s="130"/>
      <c r="S25" s="130">
        <f>Q25-R25</f>
        <v>0</v>
      </c>
      <c r="T25" s="214" t="str">
        <f t="shared" si="7"/>
        <v>-</v>
      </c>
      <c r="U25" s="204"/>
      <c r="V25" s="181">
        <f>B25+G25+L25+Q25</f>
        <v>0</v>
      </c>
      <c r="W25" s="76">
        <f>C25+H25+M25+R25</f>
        <v>0</v>
      </c>
      <c r="X25" s="76"/>
      <c r="Y25" s="186"/>
      <c r="Z25" s="204"/>
      <c r="AA25" s="181"/>
      <c r="AB25" s="76"/>
      <c r="AC25" s="186"/>
      <c r="AD25" s="162"/>
      <c r="AE25" s="77"/>
    </row>
    <row r="26" spans="1:31" ht="15.75" x14ac:dyDescent="0.25">
      <c r="A26" s="149"/>
      <c r="B26" s="182"/>
      <c r="C26" s="82"/>
      <c r="D26" s="82"/>
      <c r="E26" s="183"/>
      <c r="F26" s="203"/>
      <c r="G26" s="215"/>
      <c r="H26" s="131"/>
      <c r="I26" s="131"/>
      <c r="J26" s="216"/>
      <c r="K26" s="203"/>
      <c r="L26" s="182"/>
      <c r="M26" s="82"/>
      <c r="N26" s="82"/>
      <c r="O26" s="183"/>
      <c r="P26" s="203"/>
      <c r="Q26" s="215"/>
      <c r="R26" s="131"/>
      <c r="S26" s="131"/>
      <c r="T26" s="227" t="str">
        <f t="shared" si="7"/>
        <v>-</v>
      </c>
      <c r="U26" s="203"/>
      <c r="V26" s="182"/>
      <c r="W26" s="82"/>
      <c r="X26" s="82"/>
      <c r="Y26" s="183"/>
      <c r="Z26" s="203"/>
      <c r="AA26" s="182"/>
      <c r="AB26" s="82"/>
      <c r="AC26" s="183"/>
      <c r="AD26" s="161"/>
      <c r="AE26" s="77"/>
    </row>
    <row r="27" spans="1:31" ht="15.75" x14ac:dyDescent="0.25">
      <c r="A27" s="146" t="s">
        <v>34</v>
      </c>
      <c r="B27" s="177">
        <f>B23+B25</f>
        <v>1113410</v>
      </c>
      <c r="C27" s="110">
        <f>C23+C25</f>
        <v>889185</v>
      </c>
      <c r="D27" s="110">
        <f>D23+D25</f>
        <v>-224225</v>
      </c>
      <c r="E27" s="178">
        <f>IF(ISERROR(D27/B27),"-",D27/B27)</f>
        <v>-0.20138583271211863</v>
      </c>
      <c r="F27" s="206"/>
      <c r="G27" s="177">
        <f>G23+G25</f>
        <v>1007022</v>
      </c>
      <c r="H27" s="110">
        <f>H23+H25</f>
        <v>1210387</v>
      </c>
      <c r="I27" s="110">
        <f>I23+I25</f>
        <v>203365</v>
      </c>
      <c r="J27" s="178">
        <f>IF(ISERROR(I27/G27),"-",I27/G27)</f>
        <v>0.20194692866690103</v>
      </c>
      <c r="K27" s="206"/>
      <c r="L27" s="177">
        <f>L23+L25</f>
        <v>0</v>
      </c>
      <c r="M27" s="110">
        <f>M23+M25</f>
        <v>0</v>
      </c>
      <c r="N27" s="110">
        <f>N23+N25</f>
        <v>0</v>
      </c>
      <c r="O27" s="178" t="str">
        <f>IF(ISERROR(N27/L27),"-",N27/L27)</f>
        <v>-</v>
      </c>
      <c r="P27" s="206"/>
      <c r="Q27" s="177">
        <f>Q23+Q25</f>
        <v>0</v>
      </c>
      <c r="R27" s="110">
        <f>R23+R25</f>
        <v>0</v>
      </c>
      <c r="S27" s="110">
        <f>S23+S25</f>
        <v>0</v>
      </c>
      <c r="T27" s="178" t="str">
        <f t="shared" si="7"/>
        <v>-</v>
      </c>
      <c r="U27" s="206"/>
      <c r="V27" s="177">
        <f>V23+V25</f>
        <v>2120432</v>
      </c>
      <c r="W27" s="110">
        <f>W23+W25</f>
        <v>2099572</v>
      </c>
      <c r="X27" s="110">
        <f>X23+X25</f>
        <v>-20860</v>
      </c>
      <c r="Y27" s="178">
        <f>IF(ISERROR(X27/V27),"-",X27/V27)</f>
        <v>-9.8376179948236955E-3</v>
      </c>
      <c r="Z27" s="206"/>
      <c r="AA27" s="242">
        <f>AA23+AA25</f>
        <v>3610936</v>
      </c>
      <c r="AB27" s="109">
        <f>AA27-W27</f>
        <v>1511364</v>
      </c>
      <c r="AC27" s="248">
        <f>IF(ISERROR(AB27/AA27),"-",AB27/AA27)</f>
        <v>0.41855186577662967</v>
      </c>
      <c r="AD27" s="164"/>
      <c r="AE27" s="80"/>
    </row>
    <row r="28" spans="1:31" ht="15.75" x14ac:dyDescent="0.25">
      <c r="A28" s="150"/>
      <c r="B28" s="184"/>
      <c r="C28" s="73"/>
      <c r="D28" s="73"/>
      <c r="E28" s="185"/>
      <c r="F28" s="203"/>
      <c r="G28" s="217"/>
      <c r="H28" s="132"/>
      <c r="I28" s="132"/>
      <c r="J28" s="218"/>
      <c r="K28" s="203"/>
      <c r="L28" s="184"/>
      <c r="M28" s="73"/>
      <c r="N28" s="73"/>
      <c r="O28" s="185"/>
      <c r="P28" s="203"/>
      <c r="Q28" s="217"/>
      <c r="R28" s="132"/>
      <c r="S28" s="132"/>
      <c r="T28" s="218"/>
      <c r="U28" s="203"/>
      <c r="V28" s="179"/>
      <c r="W28" s="81"/>
      <c r="X28" s="73"/>
      <c r="Y28" s="185"/>
      <c r="Z28" s="203"/>
      <c r="AA28" s="179"/>
      <c r="AB28" s="73"/>
      <c r="AC28" s="185"/>
      <c r="AD28" s="161"/>
      <c r="AE28" s="77"/>
    </row>
    <row r="29" spans="1:31" ht="15.75" x14ac:dyDescent="0.25">
      <c r="A29" s="148" t="s">
        <v>35</v>
      </c>
      <c r="B29" s="181"/>
      <c r="C29" s="76"/>
      <c r="D29" s="76"/>
      <c r="E29" s="186"/>
      <c r="F29" s="204"/>
      <c r="G29" s="213"/>
      <c r="H29" s="130"/>
      <c r="I29" s="130"/>
      <c r="J29" s="219"/>
      <c r="K29" s="204"/>
      <c r="L29" s="181"/>
      <c r="M29" s="76"/>
      <c r="N29" s="76"/>
      <c r="O29" s="186"/>
      <c r="P29" s="204"/>
      <c r="Q29" s="213"/>
      <c r="R29" s="130"/>
      <c r="S29" s="130"/>
      <c r="T29" s="219"/>
      <c r="U29" s="204"/>
      <c r="V29" s="181"/>
      <c r="W29" s="76"/>
      <c r="X29" s="76"/>
      <c r="Y29" s="186"/>
      <c r="Z29" s="204"/>
      <c r="AA29" s="181"/>
      <c r="AB29" s="76"/>
      <c r="AC29" s="186"/>
      <c r="AD29" s="162"/>
      <c r="AE29" s="77"/>
    </row>
    <row r="30" spans="1:31" ht="15.75" x14ac:dyDescent="0.25">
      <c r="A30" s="151"/>
      <c r="B30" s="181"/>
      <c r="C30" s="76"/>
      <c r="D30" s="76"/>
      <c r="E30" s="186"/>
      <c r="F30" s="204"/>
      <c r="G30" s="213"/>
      <c r="H30" s="130"/>
      <c r="I30" s="130"/>
      <c r="J30" s="219"/>
      <c r="K30" s="204"/>
      <c r="L30" s="181"/>
      <c r="M30" s="76"/>
      <c r="N30" s="76"/>
      <c r="O30" s="234"/>
      <c r="P30" s="204"/>
      <c r="Q30" s="213"/>
      <c r="R30" s="130"/>
      <c r="S30" s="130"/>
      <c r="T30" s="219"/>
      <c r="U30" s="204"/>
      <c r="V30" s="181"/>
      <c r="W30" s="76"/>
      <c r="X30" s="76"/>
      <c r="Y30" s="186"/>
      <c r="Z30" s="204"/>
      <c r="AA30" s="181"/>
      <c r="AB30" s="76"/>
      <c r="AC30" s="186"/>
      <c r="AD30" s="162"/>
      <c r="AE30" s="77"/>
    </row>
    <row r="31" spans="1:31" ht="15.75" x14ac:dyDescent="0.25">
      <c r="A31" s="148" t="s">
        <v>36</v>
      </c>
      <c r="B31" s="181"/>
      <c r="C31" s="76"/>
      <c r="D31" s="76"/>
      <c r="E31" s="186"/>
      <c r="F31" s="204"/>
      <c r="G31" s="213"/>
      <c r="H31" s="130"/>
      <c r="I31" s="130"/>
      <c r="J31" s="219"/>
      <c r="K31" s="204"/>
      <c r="L31" s="181"/>
      <c r="M31" s="76"/>
      <c r="N31" s="76"/>
      <c r="O31" s="186"/>
      <c r="P31" s="204"/>
      <c r="Q31" s="213"/>
      <c r="R31" s="130"/>
      <c r="S31" s="130"/>
      <c r="T31" s="219"/>
      <c r="U31" s="204"/>
      <c r="V31" s="181"/>
      <c r="W31" s="76"/>
      <c r="X31" s="76"/>
      <c r="Y31" s="186"/>
      <c r="Z31" s="204"/>
      <c r="AA31" s="181"/>
      <c r="AB31" s="76"/>
      <c r="AC31" s="186"/>
      <c r="AD31" s="162"/>
      <c r="AE31" s="77"/>
    </row>
    <row r="32" spans="1:31" ht="15.75" x14ac:dyDescent="0.25">
      <c r="A32" s="145" t="s">
        <v>37</v>
      </c>
      <c r="B32" s="181">
        <f>692135-B34</f>
        <v>681593</v>
      </c>
      <c r="C32" s="181">
        <f>413582+192092-3363-64633</f>
        <v>537678</v>
      </c>
      <c r="D32" s="76">
        <f>B32-C32</f>
        <v>143915</v>
      </c>
      <c r="E32" s="175">
        <f>IF(ISERROR(D32/B32),"-",D32/B32)</f>
        <v>0.21114506751096329</v>
      </c>
      <c r="F32" s="204"/>
      <c r="G32" s="213">
        <f>633622-G34</f>
        <v>623929</v>
      </c>
      <c r="H32" s="213">
        <f>117716+447095-2806+51478</f>
        <v>613483</v>
      </c>
      <c r="I32" s="130">
        <f>G32-H32</f>
        <v>10446</v>
      </c>
      <c r="J32" s="220">
        <f>IF(ISERROR(I32/G32),"-",I32/G32)</f>
        <v>1.6742289587437034E-2</v>
      </c>
      <c r="K32" s="204"/>
      <c r="L32" s="181"/>
      <c r="M32" s="76"/>
      <c r="N32" s="76"/>
      <c r="O32" s="186"/>
      <c r="P32" s="204"/>
      <c r="Q32" s="213"/>
      <c r="R32" s="130"/>
      <c r="S32" s="130"/>
      <c r="T32" s="219"/>
      <c r="U32" s="204"/>
      <c r="V32" s="181">
        <f>B32+G32+L32+Q32</f>
        <v>1305522</v>
      </c>
      <c r="W32" s="76">
        <f>C32+H32+M32+R32</f>
        <v>1151161</v>
      </c>
      <c r="X32" s="76">
        <f>V32-W32</f>
        <v>154361</v>
      </c>
      <c r="Y32" s="175">
        <f>IF(ISERROR(X32/V32),"-",X32/V32)</f>
        <v>0.11823699638918379</v>
      </c>
      <c r="Z32" s="204"/>
      <c r="AA32" s="181">
        <f>2320767-AA34</f>
        <v>2284001</v>
      </c>
      <c r="AB32" s="76">
        <f>AA32-W32</f>
        <v>1132840</v>
      </c>
      <c r="AC32" s="175">
        <f>IF(ISERROR(AB32/AA32),"-",AB32/AA32)</f>
        <v>0.49598927496091288</v>
      </c>
      <c r="AD32" s="162"/>
      <c r="AE32" s="77"/>
    </row>
    <row r="33" spans="1:31" ht="15.75" x14ac:dyDescent="0.25">
      <c r="A33" s="145" t="s">
        <v>190</v>
      </c>
      <c r="B33" s="181"/>
      <c r="C33" s="250"/>
      <c r="D33" s="76"/>
      <c r="E33" s="175"/>
      <c r="F33" s="204"/>
      <c r="G33" s="213"/>
      <c r="H33" s="303"/>
      <c r="I33" s="130"/>
      <c r="J33" s="220"/>
      <c r="K33" s="204"/>
      <c r="L33" s="181"/>
      <c r="M33" s="76"/>
      <c r="N33" s="76"/>
      <c r="O33" s="186"/>
      <c r="P33" s="204"/>
      <c r="Q33" s="213"/>
      <c r="R33" s="130"/>
      <c r="S33" s="130"/>
      <c r="T33" s="219"/>
      <c r="U33" s="204"/>
      <c r="V33" s="181"/>
      <c r="W33" s="76"/>
      <c r="X33" s="76"/>
      <c r="Y33" s="175"/>
      <c r="Z33" s="204"/>
      <c r="AA33" s="181"/>
      <c r="AB33" s="76"/>
      <c r="AC33" s="175"/>
      <c r="AD33" s="162"/>
      <c r="AE33" s="77"/>
    </row>
    <row r="34" spans="1:31" ht="15.75" x14ac:dyDescent="0.25">
      <c r="A34" s="145" t="s">
        <v>39</v>
      </c>
      <c r="B34" s="181">
        <v>10542</v>
      </c>
      <c r="C34" s="76">
        <v>8494</v>
      </c>
      <c r="D34" s="76">
        <f>B34-C34</f>
        <v>2048</v>
      </c>
      <c r="E34" s="175">
        <f>IF(ISERROR(D34/B34),"-",D34/B34)</f>
        <v>0.19427053690001897</v>
      </c>
      <c r="F34" s="207"/>
      <c r="G34" s="213">
        <v>9693</v>
      </c>
      <c r="H34" s="130">
        <v>9704</v>
      </c>
      <c r="I34" s="130">
        <f>G34-H34</f>
        <v>-11</v>
      </c>
      <c r="J34" s="220">
        <f>IF(ISERROR(I34/G34),"-",I34/G34)</f>
        <v>-1.1348395749509956E-3</v>
      </c>
      <c r="K34" s="207"/>
      <c r="L34" s="181">
        <v>0</v>
      </c>
      <c r="M34" s="76">
        <v>0</v>
      </c>
      <c r="N34" s="76">
        <f>L34-M34</f>
        <v>0</v>
      </c>
      <c r="O34" s="176" t="str">
        <f>IF(ISERROR(N34/L34),"-",N34/L34)</f>
        <v>-</v>
      </c>
      <c r="P34" s="207"/>
      <c r="Q34" s="213">
        <v>0</v>
      </c>
      <c r="R34" s="130">
        <v>0</v>
      </c>
      <c r="S34" s="130">
        <f>Q34-R34</f>
        <v>0</v>
      </c>
      <c r="T34" s="214" t="str">
        <f>IF(ISERROR(S34/Q34),"-",S34/Q34)</f>
        <v>-</v>
      </c>
      <c r="U34" s="207"/>
      <c r="V34" s="181">
        <f>B34+G34+L34+Q34</f>
        <v>20235</v>
      </c>
      <c r="W34" s="76">
        <f>C34+H34+M34+R34</f>
        <v>18198</v>
      </c>
      <c r="X34" s="76">
        <f>V34-W34</f>
        <v>2037</v>
      </c>
      <c r="Y34" s="175">
        <f>IF(ISERROR(X34/V34),"-",X34/V34)</f>
        <v>0.10066716085989622</v>
      </c>
      <c r="Z34" s="207"/>
      <c r="AA34" s="181">
        <v>36766</v>
      </c>
      <c r="AB34" s="76">
        <f>AA34-W34</f>
        <v>18568</v>
      </c>
      <c r="AC34" s="175">
        <f>IF(ISERROR(AB34/AA34),"-",AB34/AA34)</f>
        <v>0.50503182287983461</v>
      </c>
      <c r="AD34" s="165"/>
      <c r="AE34" s="77"/>
    </row>
    <row r="35" spans="1:31" ht="15.75" x14ac:dyDescent="0.25">
      <c r="A35" s="145" t="s">
        <v>191</v>
      </c>
      <c r="B35" s="181">
        <v>8349</v>
      </c>
      <c r="C35" s="76">
        <v>3363</v>
      </c>
      <c r="D35" s="76">
        <f>B35-C35</f>
        <v>4986</v>
      </c>
      <c r="E35" s="175">
        <f>IF(ISERROR(D35/B35),"-",D35/B35)</f>
        <v>0.59719726913402804</v>
      </c>
      <c r="F35" s="205"/>
      <c r="G35" s="213">
        <v>6711</v>
      </c>
      <c r="H35" s="130">
        <v>2806</v>
      </c>
      <c r="I35" s="130">
        <f>G35-H35</f>
        <v>3905</v>
      </c>
      <c r="J35" s="220">
        <f>IF(ISERROR(I35/G35),"-",I35/G35)</f>
        <v>0.58188049471017733</v>
      </c>
      <c r="K35" s="205"/>
      <c r="L35" s="181">
        <v>0</v>
      </c>
      <c r="M35" s="76">
        <v>0</v>
      </c>
      <c r="N35" s="76">
        <f>L35-M35</f>
        <v>0</v>
      </c>
      <c r="O35" s="175" t="str">
        <f>IF(ISERROR(N35/L35),"-",N35/L35)</f>
        <v>-</v>
      </c>
      <c r="P35" s="205"/>
      <c r="Q35" s="213">
        <v>0</v>
      </c>
      <c r="R35" s="130">
        <v>0</v>
      </c>
      <c r="S35" s="130">
        <f>Q35-R35</f>
        <v>0</v>
      </c>
      <c r="T35" s="220" t="str">
        <f>IF(ISERROR(S35/Q35),"-",S35/Q35)</f>
        <v>-</v>
      </c>
      <c r="U35" s="205"/>
      <c r="V35" s="181">
        <f>B35+G35+L35+Q35</f>
        <v>15060</v>
      </c>
      <c r="W35" s="76">
        <f>C35+H35+M35+R35</f>
        <v>6169</v>
      </c>
      <c r="X35" s="76">
        <f>V35-W35</f>
        <v>8891</v>
      </c>
      <c r="Y35" s="175">
        <f>IF(ISERROR(X35/V35),"-",X35/V35)</f>
        <v>0.59037184594953518</v>
      </c>
      <c r="Z35" s="205"/>
      <c r="AA35" s="181">
        <v>21933</v>
      </c>
      <c r="AB35" s="76">
        <f>AA35-W35</f>
        <v>15764</v>
      </c>
      <c r="AC35" s="175">
        <f>IF(ISERROR(AB35/AA35),"-",AB35/AA35)</f>
        <v>0.71873432726941144</v>
      </c>
      <c r="AD35" s="163"/>
      <c r="AE35" s="83"/>
    </row>
    <row r="36" spans="1:31" ht="15.75" x14ac:dyDescent="0.25">
      <c r="A36" s="145" t="s">
        <v>41</v>
      </c>
      <c r="B36" s="181"/>
      <c r="C36" s="76"/>
      <c r="D36" s="76"/>
      <c r="E36" s="175"/>
      <c r="F36" s="205"/>
      <c r="G36" s="213"/>
      <c r="H36" s="130"/>
      <c r="I36" s="130"/>
      <c r="J36" s="220"/>
      <c r="K36" s="205"/>
      <c r="L36" s="181"/>
      <c r="M36" s="76"/>
      <c r="N36" s="76"/>
      <c r="O36" s="175"/>
      <c r="P36" s="205"/>
      <c r="Q36" s="213"/>
      <c r="R36" s="130"/>
      <c r="S36" s="130"/>
      <c r="T36" s="220"/>
      <c r="U36" s="205"/>
      <c r="V36" s="181"/>
      <c r="W36" s="76"/>
      <c r="X36" s="76"/>
      <c r="Y36" s="175"/>
      <c r="Z36" s="205"/>
      <c r="AA36" s="181"/>
      <c r="AB36" s="76"/>
      <c r="AC36" s="175"/>
      <c r="AD36" s="163"/>
      <c r="AE36" s="78"/>
    </row>
    <row r="37" spans="1:31" ht="15.75" x14ac:dyDescent="0.25">
      <c r="A37" s="145" t="s">
        <v>42</v>
      </c>
      <c r="B37" s="181"/>
      <c r="C37" s="76"/>
      <c r="D37" s="76"/>
      <c r="E37" s="175"/>
      <c r="F37" s="205"/>
      <c r="G37" s="213"/>
      <c r="H37" s="130"/>
      <c r="I37" s="130"/>
      <c r="J37" s="220"/>
      <c r="K37" s="205"/>
      <c r="L37" s="181"/>
      <c r="M37" s="76"/>
      <c r="N37" s="76"/>
      <c r="O37" s="175"/>
      <c r="P37" s="205"/>
      <c r="Q37" s="213"/>
      <c r="R37" s="130"/>
      <c r="S37" s="130"/>
      <c r="T37" s="220"/>
      <c r="U37" s="205"/>
      <c r="V37" s="181"/>
      <c r="W37" s="76"/>
      <c r="X37" s="76"/>
      <c r="Y37" s="175"/>
      <c r="Z37" s="205"/>
      <c r="AA37" s="181"/>
      <c r="AB37" s="76"/>
      <c r="AC37" s="175"/>
      <c r="AD37" s="163"/>
      <c r="AE37" s="78"/>
    </row>
    <row r="38" spans="1:31" ht="15.75" x14ac:dyDescent="0.25">
      <c r="A38" s="145" t="s">
        <v>156</v>
      </c>
      <c r="B38" s="181">
        <v>0</v>
      </c>
      <c r="C38" s="76">
        <v>0</v>
      </c>
      <c r="D38" s="76">
        <f>B38-C38</f>
        <v>0</v>
      </c>
      <c r="E38" s="175" t="str">
        <f>IF(ISERROR(D38/B38),"-",D38/B38)</f>
        <v>-</v>
      </c>
      <c r="F38" s="207"/>
      <c r="G38" s="213">
        <v>0</v>
      </c>
      <c r="H38" s="130">
        <v>0</v>
      </c>
      <c r="I38" s="130">
        <f>G38-H38</f>
        <v>0</v>
      </c>
      <c r="J38" s="214" t="str">
        <f>IF(ISERROR(I38/G38),"-",I38/G38)</f>
        <v>-</v>
      </c>
      <c r="K38" s="207"/>
      <c r="L38" s="181">
        <v>0</v>
      </c>
      <c r="M38" s="76">
        <v>0</v>
      </c>
      <c r="N38" s="76">
        <f>L38-M38</f>
        <v>0</v>
      </c>
      <c r="O38" s="176" t="str">
        <f>IF(ISERROR(N38/L38),"-",N38/L38)</f>
        <v>-</v>
      </c>
      <c r="P38" s="207"/>
      <c r="Q38" s="213">
        <v>0</v>
      </c>
      <c r="R38" s="130">
        <v>0</v>
      </c>
      <c r="S38" s="130">
        <f>Q38-R38</f>
        <v>0</v>
      </c>
      <c r="T38" s="214" t="str">
        <f>IF(ISERROR(S38/Q38),"-",S38/Q38)</f>
        <v>-</v>
      </c>
      <c r="U38" s="207"/>
      <c r="V38" s="181">
        <f>B38+G38+L38+Q38</f>
        <v>0</v>
      </c>
      <c r="W38" s="76">
        <f>C38+H38+M38+R38</f>
        <v>0</v>
      </c>
      <c r="X38" s="76">
        <f>V38-W38</f>
        <v>0</v>
      </c>
      <c r="Y38" s="176" t="str">
        <f>IF(ISERROR(X38/V38),"-",X38/V38)</f>
        <v>-</v>
      </c>
      <c r="Z38" s="207"/>
      <c r="AA38" s="181">
        <v>0</v>
      </c>
      <c r="AB38" s="76">
        <f>AA38-W38</f>
        <v>0</v>
      </c>
      <c r="AC38" s="176" t="str">
        <f>IF(ISERROR(AB38/AA38),"-",AB38/AA38)</f>
        <v>-</v>
      </c>
      <c r="AD38" s="165"/>
      <c r="AE38" s="77"/>
    </row>
    <row r="39" spans="1:31" ht="15.75" x14ac:dyDescent="0.25">
      <c r="A39" s="145" t="s">
        <v>44</v>
      </c>
      <c r="B39" s="181">
        <v>0</v>
      </c>
      <c r="C39" s="76">
        <v>0</v>
      </c>
      <c r="D39" s="76">
        <f>B39-C39</f>
        <v>0</v>
      </c>
      <c r="E39" s="175" t="str">
        <f>IF(ISERROR(D39/B39),"-",D39/B39)</f>
        <v>-</v>
      </c>
      <c r="F39" s="205"/>
      <c r="G39" s="213">
        <v>0</v>
      </c>
      <c r="H39" s="130">
        <v>0</v>
      </c>
      <c r="I39" s="130">
        <f>G39-H39</f>
        <v>0</v>
      </c>
      <c r="J39" s="220" t="str">
        <f>IF(ISERROR(I39/G39),"-",I39/G39)</f>
        <v>-</v>
      </c>
      <c r="K39" s="205"/>
      <c r="L39" s="181">
        <v>0</v>
      </c>
      <c r="M39" s="76">
        <v>0</v>
      </c>
      <c r="N39" s="76">
        <f>L39-M39</f>
        <v>0</v>
      </c>
      <c r="O39" s="175" t="str">
        <f>IF(ISERROR(N39/L39),"-",N39/L39)</f>
        <v>-</v>
      </c>
      <c r="P39" s="205"/>
      <c r="Q39" s="213">
        <v>0</v>
      </c>
      <c r="R39" s="130">
        <v>0</v>
      </c>
      <c r="S39" s="130">
        <f>Q39-R39</f>
        <v>0</v>
      </c>
      <c r="T39" s="220" t="str">
        <f>IF(ISERROR(S39/Q39),"-",S39/Q39)</f>
        <v>-</v>
      </c>
      <c r="U39" s="205"/>
      <c r="V39" s="181">
        <f>B39+G39+L39+Q39</f>
        <v>0</v>
      </c>
      <c r="W39" s="76">
        <f>C39+H39+M39+R39</f>
        <v>0</v>
      </c>
      <c r="X39" s="76">
        <f>V39-W39</f>
        <v>0</v>
      </c>
      <c r="Y39" s="175" t="str">
        <f>IF(ISERROR(X39/V39),"-",X39/V39)</f>
        <v>-</v>
      </c>
      <c r="Z39" s="205"/>
      <c r="AA39" s="181">
        <v>0</v>
      </c>
      <c r="AB39" s="76">
        <f>AA39-W39</f>
        <v>0</v>
      </c>
      <c r="AC39" s="175" t="str">
        <f>IF(ISERROR(AB39/AA39),"-",AB39/AA39)</f>
        <v>-</v>
      </c>
      <c r="AD39" s="163"/>
      <c r="AE39" s="84"/>
    </row>
    <row r="40" spans="1:31" ht="15.75" x14ac:dyDescent="0.25">
      <c r="A40" s="146" t="s">
        <v>45</v>
      </c>
      <c r="B40" s="177">
        <f t="shared" ref="B40:AC40" si="14">SUM(B32:B39)</f>
        <v>700484</v>
      </c>
      <c r="C40" s="110">
        <f t="shared" si="14"/>
        <v>549535</v>
      </c>
      <c r="D40" s="110">
        <f t="shared" si="14"/>
        <v>150949</v>
      </c>
      <c r="E40" s="110">
        <f t="shared" si="14"/>
        <v>1.0026128735450102</v>
      </c>
      <c r="F40" s="110">
        <f t="shared" si="14"/>
        <v>0</v>
      </c>
      <c r="G40" s="110">
        <f t="shared" si="14"/>
        <v>640333</v>
      </c>
      <c r="H40" s="110">
        <f t="shared" si="14"/>
        <v>625993</v>
      </c>
      <c r="I40" s="110">
        <f t="shared" si="14"/>
        <v>14340</v>
      </c>
      <c r="J40" s="110">
        <f t="shared" si="14"/>
        <v>0.59748794472266342</v>
      </c>
      <c r="K40" s="110">
        <f t="shared" si="14"/>
        <v>0</v>
      </c>
      <c r="L40" s="110">
        <f t="shared" si="14"/>
        <v>0</v>
      </c>
      <c r="M40" s="110">
        <f t="shared" si="14"/>
        <v>0</v>
      </c>
      <c r="N40" s="110">
        <f t="shared" si="14"/>
        <v>0</v>
      </c>
      <c r="O40" s="110">
        <f t="shared" si="14"/>
        <v>0</v>
      </c>
      <c r="P40" s="110">
        <f t="shared" si="14"/>
        <v>0</v>
      </c>
      <c r="Q40" s="110">
        <f t="shared" si="14"/>
        <v>0</v>
      </c>
      <c r="R40" s="110">
        <f t="shared" si="14"/>
        <v>0</v>
      </c>
      <c r="S40" s="110">
        <f t="shared" si="14"/>
        <v>0</v>
      </c>
      <c r="T40" s="110">
        <f t="shared" si="14"/>
        <v>0</v>
      </c>
      <c r="U40" s="110">
        <f t="shared" si="14"/>
        <v>0</v>
      </c>
      <c r="V40" s="110">
        <f t="shared" si="14"/>
        <v>1340817</v>
      </c>
      <c r="W40" s="110">
        <f t="shared" si="14"/>
        <v>1175528</v>
      </c>
      <c r="X40" s="110">
        <f t="shared" si="14"/>
        <v>165289</v>
      </c>
      <c r="Y40" s="110">
        <f t="shared" si="14"/>
        <v>0.80927600319861526</v>
      </c>
      <c r="Z40" s="110">
        <f t="shared" si="14"/>
        <v>0</v>
      </c>
      <c r="AA40" s="110">
        <f t="shared" si="14"/>
        <v>2342700</v>
      </c>
      <c r="AB40" s="110">
        <f t="shared" si="14"/>
        <v>1167172</v>
      </c>
      <c r="AC40" s="110">
        <f t="shared" si="14"/>
        <v>1.7197554251101588</v>
      </c>
      <c r="AD40" s="163"/>
      <c r="AE40" s="86"/>
    </row>
    <row r="41" spans="1:31" x14ac:dyDescent="0.25">
      <c r="A41" s="150"/>
      <c r="B41" s="179"/>
      <c r="C41" s="81"/>
      <c r="D41" s="81"/>
      <c r="E41" s="180"/>
      <c r="F41" s="204"/>
      <c r="G41" s="211"/>
      <c r="H41" s="129"/>
      <c r="I41" s="129"/>
      <c r="J41" s="223"/>
      <c r="K41" s="204"/>
      <c r="L41" s="179"/>
      <c r="M41" s="81"/>
      <c r="N41" s="81"/>
      <c r="O41" s="180"/>
      <c r="P41" s="204"/>
      <c r="Q41" s="211"/>
      <c r="R41" s="129"/>
      <c r="S41" s="129"/>
      <c r="T41" s="223"/>
      <c r="U41" s="204"/>
      <c r="V41" s="179"/>
      <c r="W41" s="81"/>
      <c r="X41" s="81"/>
      <c r="Y41" s="239"/>
      <c r="Z41" s="204"/>
      <c r="AA41" s="179"/>
      <c r="AB41" s="81"/>
      <c r="AC41" s="239"/>
      <c r="AD41" s="162"/>
      <c r="AE41" s="77"/>
    </row>
    <row r="42" spans="1:31" ht="15.75" x14ac:dyDescent="0.25">
      <c r="A42" s="148" t="s">
        <v>46</v>
      </c>
      <c r="B42" s="189"/>
      <c r="C42" s="87"/>
      <c r="D42" s="87"/>
      <c r="E42" s="190"/>
      <c r="F42" s="203"/>
      <c r="G42" s="224"/>
      <c r="H42" s="134"/>
      <c r="I42" s="134"/>
      <c r="J42" s="225"/>
      <c r="K42" s="203"/>
      <c r="L42" s="189"/>
      <c r="M42" s="87"/>
      <c r="N42" s="87"/>
      <c r="O42" s="190"/>
      <c r="P42" s="203"/>
      <c r="Q42" s="224"/>
      <c r="R42" s="134"/>
      <c r="S42" s="134"/>
      <c r="T42" s="225"/>
      <c r="U42" s="203"/>
      <c r="V42" s="189"/>
      <c r="W42" s="87"/>
      <c r="X42" s="76"/>
      <c r="Y42" s="240"/>
      <c r="Z42" s="203"/>
      <c r="AA42" s="189"/>
      <c r="AB42" s="76"/>
      <c r="AC42" s="240"/>
      <c r="AD42" s="161"/>
      <c r="AE42" s="77"/>
    </row>
    <row r="43" spans="1:31" ht="15.75" x14ac:dyDescent="0.25">
      <c r="A43" s="145" t="s">
        <v>47</v>
      </c>
      <c r="B43" s="181">
        <v>28361</v>
      </c>
      <c r="C43" s="76">
        <v>28361</v>
      </c>
      <c r="D43" s="76">
        <f t="shared" ref="D43:D62" si="15">B43-C43</f>
        <v>0</v>
      </c>
      <c r="E43" s="175">
        <f t="shared" ref="E43:E62" si="16">IF(ISERROR(D43/B43),"-",D43/B43)</f>
        <v>0</v>
      </c>
      <c r="F43" s="205"/>
      <c r="G43" s="213">
        <v>54028</v>
      </c>
      <c r="H43" s="130">
        <v>26454</v>
      </c>
      <c r="I43" s="130">
        <f t="shared" ref="I43:I62" si="17">G43-H43</f>
        <v>27574</v>
      </c>
      <c r="J43" s="220">
        <f t="shared" ref="J43:J62" si="18">IF(ISERROR(I43/G43),"-",I43/G43)</f>
        <v>0.5103649959280373</v>
      </c>
      <c r="K43" s="205"/>
      <c r="L43" s="181">
        <v>0</v>
      </c>
      <c r="M43" s="76">
        <v>0</v>
      </c>
      <c r="N43" s="76">
        <f t="shared" ref="N43:N62" si="19">L43-M43</f>
        <v>0</v>
      </c>
      <c r="O43" s="175" t="str">
        <f t="shared" ref="O43:O62" si="20">IF(ISERROR(N43/L43),"-",N43/L43)</f>
        <v>-</v>
      </c>
      <c r="P43" s="205"/>
      <c r="Q43" s="213">
        <v>0</v>
      </c>
      <c r="R43" s="130">
        <v>0</v>
      </c>
      <c r="S43" s="130">
        <f t="shared" ref="S43:S62" si="21">Q43-R43</f>
        <v>0</v>
      </c>
      <c r="T43" s="220" t="str">
        <f t="shared" ref="T43:T62" si="22">IF(ISERROR(S43/Q43),"-",S43/Q43)</f>
        <v>-</v>
      </c>
      <c r="U43" s="205"/>
      <c r="V43" s="181">
        <f t="shared" ref="V43:V62" si="23">B43+G43+L43+Q43</f>
        <v>82389</v>
      </c>
      <c r="W43" s="76">
        <f t="shared" ref="W43:W62" si="24">C43+H43+M43+R43</f>
        <v>54815</v>
      </c>
      <c r="X43" s="76">
        <f t="shared" ref="X43:X62" si="25">V43-W43</f>
        <v>27574</v>
      </c>
      <c r="Y43" s="175">
        <f t="shared" ref="Y43:Y62" si="26">IF(ISERROR(X43/V43),"-",X43/V43)</f>
        <v>0.3346806005656095</v>
      </c>
      <c r="Z43" s="205"/>
      <c r="AA43" s="181">
        <v>122887</v>
      </c>
      <c r="AB43" s="76">
        <f t="shared" ref="AB43:AB62" si="27">AA43-W43</f>
        <v>68072</v>
      </c>
      <c r="AC43" s="175">
        <f t="shared" ref="AC43:AC62" si="28">IF(ISERROR(AB43/AA43),"-",AB43/AA43)</f>
        <v>0.55393979835133089</v>
      </c>
      <c r="AD43" s="163"/>
      <c r="AE43" s="88"/>
    </row>
    <row r="44" spans="1:31" ht="15.75" x14ac:dyDescent="0.25">
      <c r="A44" s="145" t="s">
        <v>48</v>
      </c>
      <c r="B44" s="181">
        <v>0</v>
      </c>
      <c r="C44" s="76">
        <v>0</v>
      </c>
      <c r="D44" s="76">
        <f t="shared" si="15"/>
        <v>0</v>
      </c>
      <c r="E44" s="175" t="str">
        <f t="shared" si="16"/>
        <v>-</v>
      </c>
      <c r="F44" s="207"/>
      <c r="G44" s="213">
        <v>0</v>
      </c>
      <c r="H44" s="130">
        <v>0</v>
      </c>
      <c r="I44" s="130">
        <f t="shared" si="17"/>
        <v>0</v>
      </c>
      <c r="J44" s="220" t="str">
        <f t="shared" si="18"/>
        <v>-</v>
      </c>
      <c r="K44" s="207"/>
      <c r="L44" s="181">
        <v>0</v>
      </c>
      <c r="M44" s="76">
        <v>0</v>
      </c>
      <c r="N44" s="76">
        <f t="shared" si="19"/>
        <v>0</v>
      </c>
      <c r="O44" s="175" t="str">
        <f t="shared" si="20"/>
        <v>-</v>
      </c>
      <c r="P44" s="207"/>
      <c r="Q44" s="213">
        <v>0</v>
      </c>
      <c r="R44" s="130">
        <v>0</v>
      </c>
      <c r="S44" s="130">
        <f t="shared" si="21"/>
        <v>0</v>
      </c>
      <c r="T44" s="220" t="str">
        <f t="shared" si="22"/>
        <v>-</v>
      </c>
      <c r="U44" s="207"/>
      <c r="V44" s="181">
        <f t="shared" si="23"/>
        <v>0</v>
      </c>
      <c r="W44" s="76">
        <f t="shared" si="24"/>
        <v>0</v>
      </c>
      <c r="X44" s="76">
        <f t="shared" si="25"/>
        <v>0</v>
      </c>
      <c r="Y44" s="175" t="str">
        <f t="shared" si="26"/>
        <v>-</v>
      </c>
      <c r="Z44" s="207"/>
      <c r="AA44" s="181">
        <f>40013</f>
        <v>40013</v>
      </c>
      <c r="AB44" s="76">
        <f t="shared" si="27"/>
        <v>40013</v>
      </c>
      <c r="AC44" s="175">
        <f t="shared" si="28"/>
        <v>1</v>
      </c>
      <c r="AD44" s="165"/>
      <c r="AE44" s="77"/>
    </row>
    <row r="45" spans="1:31" ht="15.75" x14ac:dyDescent="0.25">
      <c r="A45" s="145" t="s">
        <v>49</v>
      </c>
      <c r="B45" s="181">
        <v>0</v>
      </c>
      <c r="C45" s="76">
        <v>0</v>
      </c>
      <c r="D45" s="76">
        <f t="shared" si="15"/>
        <v>0</v>
      </c>
      <c r="E45" s="176" t="str">
        <f t="shared" si="16"/>
        <v>-</v>
      </c>
      <c r="F45" s="207"/>
      <c r="G45" s="213">
        <v>0</v>
      </c>
      <c r="H45" s="130">
        <v>0</v>
      </c>
      <c r="I45" s="130">
        <f t="shared" si="17"/>
        <v>0</v>
      </c>
      <c r="J45" s="214" t="str">
        <f t="shared" si="18"/>
        <v>-</v>
      </c>
      <c r="K45" s="207"/>
      <c r="L45" s="181">
        <v>0</v>
      </c>
      <c r="M45" s="76">
        <v>0</v>
      </c>
      <c r="N45" s="76">
        <f t="shared" si="19"/>
        <v>0</v>
      </c>
      <c r="O45" s="176" t="str">
        <f t="shared" si="20"/>
        <v>-</v>
      </c>
      <c r="P45" s="207"/>
      <c r="Q45" s="213">
        <v>0</v>
      </c>
      <c r="R45" s="130">
        <v>0</v>
      </c>
      <c r="S45" s="130">
        <f t="shared" si="21"/>
        <v>0</v>
      </c>
      <c r="T45" s="214" t="str">
        <f t="shared" si="22"/>
        <v>-</v>
      </c>
      <c r="U45" s="207"/>
      <c r="V45" s="181">
        <f t="shared" si="23"/>
        <v>0</v>
      </c>
      <c r="W45" s="76">
        <f t="shared" si="24"/>
        <v>0</v>
      </c>
      <c r="X45" s="76">
        <f t="shared" si="25"/>
        <v>0</v>
      </c>
      <c r="Y45" s="176" t="str">
        <f t="shared" si="26"/>
        <v>-</v>
      </c>
      <c r="Z45" s="207"/>
      <c r="AA45" s="181">
        <v>0</v>
      </c>
      <c r="AB45" s="76">
        <f t="shared" si="27"/>
        <v>0</v>
      </c>
      <c r="AC45" s="176" t="str">
        <f t="shared" si="28"/>
        <v>-</v>
      </c>
      <c r="AD45" s="165"/>
      <c r="AE45" s="77"/>
    </row>
    <row r="46" spans="1:31" ht="15.75" x14ac:dyDescent="0.25">
      <c r="A46" s="145" t="s">
        <v>50</v>
      </c>
      <c r="B46" s="181">
        <f>1815+750</f>
        <v>2565</v>
      </c>
      <c r="C46" s="76">
        <f>743+525</f>
        <v>1268</v>
      </c>
      <c r="D46" s="76">
        <f t="shared" si="15"/>
        <v>1297</v>
      </c>
      <c r="E46" s="175">
        <f t="shared" si="16"/>
        <v>0.50565302144249513</v>
      </c>
      <c r="F46" s="207"/>
      <c r="G46" s="213">
        <v>304</v>
      </c>
      <c r="H46" s="130">
        <v>741</v>
      </c>
      <c r="I46" s="130">
        <f t="shared" si="17"/>
        <v>-437</v>
      </c>
      <c r="J46" s="220">
        <f t="shared" si="18"/>
        <v>-1.4375</v>
      </c>
      <c r="K46" s="207"/>
      <c r="L46" s="181">
        <v>0</v>
      </c>
      <c r="M46" s="76">
        <v>0</v>
      </c>
      <c r="N46" s="76">
        <f t="shared" si="19"/>
        <v>0</v>
      </c>
      <c r="O46" s="175" t="str">
        <f t="shared" si="20"/>
        <v>-</v>
      </c>
      <c r="P46" s="207"/>
      <c r="Q46" s="213">
        <v>0</v>
      </c>
      <c r="R46" s="130">
        <v>0</v>
      </c>
      <c r="S46" s="130">
        <f t="shared" si="21"/>
        <v>0</v>
      </c>
      <c r="T46" s="220" t="str">
        <f t="shared" si="22"/>
        <v>-</v>
      </c>
      <c r="U46" s="207"/>
      <c r="V46" s="181">
        <f t="shared" si="23"/>
        <v>2869</v>
      </c>
      <c r="W46" s="76">
        <f t="shared" si="24"/>
        <v>2009</v>
      </c>
      <c r="X46" s="76">
        <f t="shared" si="25"/>
        <v>860</v>
      </c>
      <c r="Y46" s="175">
        <f t="shared" si="26"/>
        <v>0.29975601254792611</v>
      </c>
      <c r="Z46" s="207"/>
      <c r="AA46" s="181">
        <v>5826</v>
      </c>
      <c r="AB46" s="76">
        <f t="shared" si="27"/>
        <v>3817</v>
      </c>
      <c r="AC46" s="175">
        <f t="shared" si="28"/>
        <v>0.65516649502231372</v>
      </c>
      <c r="AD46" s="165"/>
      <c r="AE46" s="88"/>
    </row>
    <row r="47" spans="1:31" ht="15.75" x14ac:dyDescent="0.25">
      <c r="A47" s="145" t="s">
        <v>51</v>
      </c>
      <c r="B47" s="181">
        <v>0</v>
      </c>
      <c r="C47" s="76">
        <v>0</v>
      </c>
      <c r="D47" s="76">
        <f t="shared" si="15"/>
        <v>0</v>
      </c>
      <c r="E47" s="176" t="str">
        <f t="shared" si="16"/>
        <v>-</v>
      </c>
      <c r="F47" s="207"/>
      <c r="G47" s="213">
        <v>0</v>
      </c>
      <c r="H47" s="130">
        <v>0</v>
      </c>
      <c r="I47" s="130">
        <f t="shared" si="17"/>
        <v>0</v>
      </c>
      <c r="J47" s="214" t="str">
        <f t="shared" si="18"/>
        <v>-</v>
      </c>
      <c r="K47" s="207"/>
      <c r="L47" s="181">
        <v>0</v>
      </c>
      <c r="M47" s="76">
        <v>0</v>
      </c>
      <c r="N47" s="76">
        <f t="shared" si="19"/>
        <v>0</v>
      </c>
      <c r="O47" s="176" t="str">
        <f t="shared" si="20"/>
        <v>-</v>
      </c>
      <c r="P47" s="207"/>
      <c r="Q47" s="213">
        <v>0</v>
      </c>
      <c r="R47" s="130">
        <v>0</v>
      </c>
      <c r="S47" s="130">
        <f t="shared" si="21"/>
        <v>0</v>
      </c>
      <c r="T47" s="214" t="str">
        <f t="shared" si="22"/>
        <v>-</v>
      </c>
      <c r="U47" s="207"/>
      <c r="V47" s="181">
        <f t="shared" si="23"/>
        <v>0</v>
      </c>
      <c r="W47" s="76">
        <f t="shared" si="24"/>
        <v>0</v>
      </c>
      <c r="X47" s="76">
        <f t="shared" si="25"/>
        <v>0</v>
      </c>
      <c r="Y47" s="176" t="str">
        <f t="shared" si="26"/>
        <v>-</v>
      </c>
      <c r="Z47" s="207"/>
      <c r="AA47" s="181">
        <v>0</v>
      </c>
      <c r="AB47" s="76">
        <f t="shared" si="27"/>
        <v>0</v>
      </c>
      <c r="AC47" s="176" t="str">
        <f t="shared" si="28"/>
        <v>-</v>
      </c>
      <c r="AD47" s="165"/>
      <c r="AE47" s="77"/>
    </row>
    <row r="48" spans="1:31" ht="15.75" x14ac:dyDescent="0.25">
      <c r="A48" s="145" t="s">
        <v>52</v>
      </c>
      <c r="B48" s="181">
        <v>11532</v>
      </c>
      <c r="C48" s="76">
        <v>11273</v>
      </c>
      <c r="D48" s="76">
        <f t="shared" si="15"/>
        <v>259</v>
      </c>
      <c r="E48" s="175">
        <f t="shared" si="16"/>
        <v>2.245924384321887E-2</v>
      </c>
      <c r="F48" s="205"/>
      <c r="G48" s="213">
        <v>11410</v>
      </c>
      <c r="H48" s="130">
        <v>10836</v>
      </c>
      <c r="I48" s="130">
        <f t="shared" si="17"/>
        <v>574</v>
      </c>
      <c r="J48" s="220">
        <f t="shared" si="18"/>
        <v>5.030674846625767E-2</v>
      </c>
      <c r="K48" s="205"/>
      <c r="L48" s="181">
        <v>0</v>
      </c>
      <c r="M48" s="76">
        <v>0</v>
      </c>
      <c r="N48" s="76">
        <f t="shared" si="19"/>
        <v>0</v>
      </c>
      <c r="O48" s="175" t="str">
        <f t="shared" si="20"/>
        <v>-</v>
      </c>
      <c r="P48" s="205"/>
      <c r="Q48" s="213">
        <v>0</v>
      </c>
      <c r="R48" s="130">
        <v>0</v>
      </c>
      <c r="S48" s="130">
        <f t="shared" si="21"/>
        <v>0</v>
      </c>
      <c r="T48" s="220" t="str">
        <f t="shared" si="22"/>
        <v>-</v>
      </c>
      <c r="U48" s="205"/>
      <c r="V48" s="181">
        <f t="shared" si="23"/>
        <v>22942</v>
      </c>
      <c r="W48" s="76">
        <f t="shared" si="24"/>
        <v>22109</v>
      </c>
      <c r="X48" s="76">
        <f t="shared" si="25"/>
        <v>833</v>
      </c>
      <c r="Y48" s="175">
        <f t="shared" si="26"/>
        <v>3.630895301194316E-2</v>
      </c>
      <c r="Z48" s="205"/>
      <c r="AA48" s="181">
        <v>45272</v>
      </c>
      <c r="AB48" s="76">
        <f t="shared" si="27"/>
        <v>23163</v>
      </c>
      <c r="AC48" s="175">
        <f t="shared" si="28"/>
        <v>0.51164074924898395</v>
      </c>
      <c r="AD48" s="163"/>
      <c r="AE48" s="89"/>
    </row>
    <row r="49" spans="1:33" ht="21" customHeight="1" x14ac:dyDescent="0.25">
      <c r="A49" s="270" t="s">
        <v>53</v>
      </c>
      <c r="B49" s="281">
        <v>31990.49</v>
      </c>
      <c r="C49" s="280">
        <v>31990</v>
      </c>
      <c r="D49" s="280">
        <f t="shared" si="15"/>
        <v>0.49000000000160071</v>
      </c>
      <c r="E49" s="279">
        <f t="shared" si="16"/>
        <v>1.5317052036452105E-5</v>
      </c>
      <c r="F49" s="287"/>
      <c r="G49" s="281">
        <v>0</v>
      </c>
      <c r="H49" s="280">
        <v>0</v>
      </c>
      <c r="I49" s="280">
        <f t="shared" si="17"/>
        <v>0</v>
      </c>
      <c r="J49" s="279" t="str">
        <f t="shared" si="18"/>
        <v>-</v>
      </c>
      <c r="K49" s="287"/>
      <c r="L49" s="281">
        <v>0</v>
      </c>
      <c r="M49" s="280">
        <v>0</v>
      </c>
      <c r="N49" s="280">
        <f t="shared" si="19"/>
        <v>0</v>
      </c>
      <c r="O49" s="279" t="str">
        <f t="shared" si="20"/>
        <v>-</v>
      </c>
      <c r="P49" s="287"/>
      <c r="Q49" s="281">
        <v>0</v>
      </c>
      <c r="R49" s="280">
        <v>0</v>
      </c>
      <c r="S49" s="280">
        <f t="shared" si="21"/>
        <v>0</v>
      </c>
      <c r="T49" s="279" t="str">
        <f t="shared" si="22"/>
        <v>-</v>
      </c>
      <c r="U49" s="287"/>
      <c r="V49" s="281">
        <f t="shared" si="23"/>
        <v>31990.49</v>
      </c>
      <c r="W49" s="280">
        <f t="shared" si="24"/>
        <v>31990</v>
      </c>
      <c r="X49" s="280">
        <f t="shared" si="25"/>
        <v>0.49000000000160071</v>
      </c>
      <c r="Y49" s="279">
        <f t="shared" si="26"/>
        <v>1.5317052036452105E-5</v>
      </c>
      <c r="Z49" s="287"/>
      <c r="AA49" s="281">
        <v>31990.49</v>
      </c>
      <c r="AB49" s="280">
        <f t="shared" si="27"/>
        <v>0.49000000000160071</v>
      </c>
      <c r="AC49" s="279">
        <f t="shared" si="28"/>
        <v>1.5317052036452105E-5</v>
      </c>
      <c r="AD49" s="286"/>
      <c r="AE49" s="288"/>
    </row>
    <row r="50" spans="1:33" ht="21" customHeight="1" x14ac:dyDescent="0.25">
      <c r="A50" s="145" t="s">
        <v>192</v>
      </c>
      <c r="B50" s="181">
        <v>0</v>
      </c>
      <c r="C50" s="76">
        <v>1277</v>
      </c>
      <c r="D50" s="76">
        <f t="shared" si="15"/>
        <v>-1277</v>
      </c>
      <c r="E50" s="175" t="str">
        <f t="shared" si="16"/>
        <v>-</v>
      </c>
      <c r="F50" s="205"/>
      <c r="G50" s="213">
        <v>0</v>
      </c>
      <c r="H50" s="130">
        <v>1348</v>
      </c>
      <c r="I50" s="130">
        <f t="shared" si="17"/>
        <v>-1348</v>
      </c>
      <c r="J50" s="220" t="str">
        <f t="shared" si="18"/>
        <v>-</v>
      </c>
      <c r="K50" s="205"/>
      <c r="L50" s="181">
        <v>0</v>
      </c>
      <c r="M50" s="76">
        <v>0</v>
      </c>
      <c r="N50" s="76">
        <f t="shared" si="19"/>
        <v>0</v>
      </c>
      <c r="O50" s="175" t="str">
        <f t="shared" si="20"/>
        <v>-</v>
      </c>
      <c r="P50" s="205"/>
      <c r="Q50" s="213">
        <v>0</v>
      </c>
      <c r="R50" s="130">
        <v>0</v>
      </c>
      <c r="S50" s="130">
        <f t="shared" si="21"/>
        <v>0</v>
      </c>
      <c r="T50" s="220" t="str">
        <f t="shared" si="22"/>
        <v>-</v>
      </c>
      <c r="U50" s="205"/>
      <c r="V50" s="181">
        <f t="shared" si="23"/>
        <v>0</v>
      </c>
      <c r="W50" s="76">
        <f t="shared" si="24"/>
        <v>2625</v>
      </c>
      <c r="X50" s="76">
        <f t="shared" si="25"/>
        <v>-2625</v>
      </c>
      <c r="Y50" s="175" t="str">
        <f t="shared" si="26"/>
        <v>-</v>
      </c>
      <c r="Z50" s="205"/>
      <c r="AA50" s="181">
        <v>0</v>
      </c>
      <c r="AB50" s="76">
        <f t="shared" si="27"/>
        <v>-2625</v>
      </c>
      <c r="AC50" s="175" t="str">
        <f t="shared" si="28"/>
        <v>-</v>
      </c>
      <c r="AD50" s="163"/>
      <c r="AE50" s="78"/>
    </row>
    <row r="51" spans="1:33" ht="15.75" x14ac:dyDescent="0.25">
      <c r="A51" s="145" t="s">
        <v>55</v>
      </c>
      <c r="B51" s="181">
        <v>0</v>
      </c>
      <c r="C51" s="76">
        <v>10849</v>
      </c>
      <c r="D51" s="76">
        <f t="shared" si="15"/>
        <v>-10849</v>
      </c>
      <c r="E51" s="175" t="str">
        <f t="shared" si="16"/>
        <v>-</v>
      </c>
      <c r="F51" s="207"/>
      <c r="G51" s="213">
        <v>0</v>
      </c>
      <c r="H51" s="130">
        <v>10796</v>
      </c>
      <c r="I51" s="130">
        <f t="shared" si="17"/>
        <v>-10796</v>
      </c>
      <c r="J51" s="220" t="str">
        <f t="shared" si="18"/>
        <v>-</v>
      </c>
      <c r="K51" s="207"/>
      <c r="L51" s="181">
        <v>0</v>
      </c>
      <c r="M51" s="76">
        <v>0</v>
      </c>
      <c r="N51" s="76">
        <f t="shared" si="19"/>
        <v>0</v>
      </c>
      <c r="O51" s="175" t="str">
        <f t="shared" si="20"/>
        <v>-</v>
      </c>
      <c r="P51" s="207"/>
      <c r="Q51" s="213">
        <v>0</v>
      </c>
      <c r="R51" s="130">
        <v>0</v>
      </c>
      <c r="S51" s="130">
        <f t="shared" si="21"/>
        <v>0</v>
      </c>
      <c r="T51" s="220" t="str">
        <f t="shared" si="22"/>
        <v>-</v>
      </c>
      <c r="U51" s="207"/>
      <c r="V51" s="181">
        <f t="shared" si="23"/>
        <v>0</v>
      </c>
      <c r="W51" s="76">
        <f t="shared" si="24"/>
        <v>21645</v>
      </c>
      <c r="X51" s="76">
        <f t="shared" si="25"/>
        <v>-21645</v>
      </c>
      <c r="Y51" s="175" t="str">
        <f t="shared" si="26"/>
        <v>-</v>
      </c>
      <c r="Z51" s="207"/>
      <c r="AA51" s="181">
        <v>0</v>
      </c>
      <c r="AB51" s="76">
        <f t="shared" si="27"/>
        <v>-21645</v>
      </c>
      <c r="AC51" s="175" t="str">
        <f t="shared" si="28"/>
        <v>-</v>
      </c>
      <c r="AD51" s="165"/>
      <c r="AE51" s="78"/>
    </row>
    <row r="52" spans="1:33" ht="15.75" x14ac:dyDescent="0.25">
      <c r="A52" s="145" t="s">
        <v>56</v>
      </c>
      <c r="B52" s="181">
        <v>41850</v>
      </c>
      <c r="C52" s="76">
        <v>41850</v>
      </c>
      <c r="D52" s="76">
        <f t="shared" si="15"/>
        <v>0</v>
      </c>
      <c r="E52" s="176">
        <f t="shared" si="16"/>
        <v>0</v>
      </c>
      <c r="F52" s="207"/>
      <c r="G52" s="213">
        <v>41850</v>
      </c>
      <c r="H52" s="130">
        <v>41850</v>
      </c>
      <c r="I52" s="130">
        <f t="shared" si="17"/>
        <v>0</v>
      </c>
      <c r="J52" s="214">
        <f t="shared" si="18"/>
        <v>0</v>
      </c>
      <c r="K52" s="207"/>
      <c r="L52" s="181">
        <v>0</v>
      </c>
      <c r="M52" s="76">
        <v>0</v>
      </c>
      <c r="N52" s="76">
        <f t="shared" si="19"/>
        <v>0</v>
      </c>
      <c r="O52" s="176" t="str">
        <f t="shared" si="20"/>
        <v>-</v>
      </c>
      <c r="P52" s="207"/>
      <c r="Q52" s="213">
        <v>0</v>
      </c>
      <c r="R52" s="130">
        <v>0</v>
      </c>
      <c r="S52" s="130">
        <f t="shared" si="21"/>
        <v>0</v>
      </c>
      <c r="T52" s="214" t="str">
        <f t="shared" si="22"/>
        <v>-</v>
      </c>
      <c r="U52" s="207"/>
      <c r="V52" s="181">
        <f t="shared" si="23"/>
        <v>83700</v>
      </c>
      <c r="W52" s="76">
        <f t="shared" si="24"/>
        <v>83700</v>
      </c>
      <c r="X52" s="76">
        <f t="shared" si="25"/>
        <v>0</v>
      </c>
      <c r="Y52" s="176">
        <f t="shared" si="26"/>
        <v>0</v>
      </c>
      <c r="Z52" s="207"/>
      <c r="AA52" s="181">
        <v>167400</v>
      </c>
      <c r="AB52" s="76">
        <f t="shared" si="27"/>
        <v>83700</v>
      </c>
      <c r="AC52" s="176">
        <f t="shared" si="28"/>
        <v>0.5</v>
      </c>
      <c r="AD52" s="165"/>
      <c r="AE52" s="78"/>
      <c r="AF52" s="283"/>
    </row>
    <row r="53" spans="1:33" ht="15.75" x14ac:dyDescent="0.25">
      <c r="A53" s="145" t="s">
        <v>57</v>
      </c>
      <c r="B53" s="181">
        <v>0</v>
      </c>
      <c r="C53" s="76">
        <v>0</v>
      </c>
      <c r="D53" s="76">
        <f t="shared" si="15"/>
        <v>0</v>
      </c>
      <c r="E53" s="176" t="str">
        <f t="shared" si="16"/>
        <v>-</v>
      </c>
      <c r="F53" s="207"/>
      <c r="G53" s="213">
        <v>0</v>
      </c>
      <c r="H53" s="130">
        <v>0</v>
      </c>
      <c r="I53" s="130">
        <f t="shared" si="17"/>
        <v>0</v>
      </c>
      <c r="J53" s="214" t="str">
        <f t="shared" si="18"/>
        <v>-</v>
      </c>
      <c r="K53" s="207"/>
      <c r="L53" s="181">
        <v>0</v>
      </c>
      <c r="M53" s="76">
        <v>0</v>
      </c>
      <c r="N53" s="76">
        <f t="shared" si="19"/>
        <v>0</v>
      </c>
      <c r="O53" s="176" t="str">
        <f t="shared" si="20"/>
        <v>-</v>
      </c>
      <c r="P53" s="207"/>
      <c r="Q53" s="213">
        <v>0</v>
      </c>
      <c r="R53" s="130">
        <v>0</v>
      </c>
      <c r="S53" s="130">
        <f t="shared" si="21"/>
        <v>0</v>
      </c>
      <c r="T53" s="214" t="str">
        <f t="shared" si="22"/>
        <v>-</v>
      </c>
      <c r="U53" s="207"/>
      <c r="V53" s="181">
        <f t="shared" si="23"/>
        <v>0</v>
      </c>
      <c r="W53" s="76">
        <f t="shared" si="24"/>
        <v>0</v>
      </c>
      <c r="X53" s="76">
        <f t="shared" si="25"/>
        <v>0</v>
      </c>
      <c r="Y53" s="176" t="str">
        <f t="shared" si="26"/>
        <v>-</v>
      </c>
      <c r="Z53" s="207"/>
      <c r="AA53" s="181">
        <v>0</v>
      </c>
      <c r="AB53" s="76">
        <f t="shared" si="27"/>
        <v>0</v>
      </c>
      <c r="AC53" s="176" t="str">
        <f t="shared" si="28"/>
        <v>-</v>
      </c>
      <c r="AD53" s="165"/>
      <c r="AE53" s="77"/>
    </row>
    <row r="54" spans="1:33" ht="15.75" x14ac:dyDescent="0.25">
      <c r="A54" s="145" t="s">
        <v>58</v>
      </c>
      <c r="B54" s="181">
        <v>0</v>
      </c>
      <c r="C54" s="76">
        <v>0</v>
      </c>
      <c r="D54" s="76">
        <f t="shared" si="15"/>
        <v>0</v>
      </c>
      <c r="E54" s="176" t="str">
        <f t="shared" si="16"/>
        <v>-</v>
      </c>
      <c r="F54" s="207"/>
      <c r="G54" s="213">
        <v>0</v>
      </c>
      <c r="H54" s="130">
        <v>0</v>
      </c>
      <c r="I54" s="130">
        <f t="shared" si="17"/>
        <v>0</v>
      </c>
      <c r="J54" s="214" t="str">
        <f t="shared" si="18"/>
        <v>-</v>
      </c>
      <c r="K54" s="207"/>
      <c r="L54" s="181">
        <v>0</v>
      </c>
      <c r="M54" s="76">
        <v>0</v>
      </c>
      <c r="N54" s="76">
        <f t="shared" si="19"/>
        <v>0</v>
      </c>
      <c r="O54" s="176" t="str">
        <f t="shared" si="20"/>
        <v>-</v>
      </c>
      <c r="P54" s="207"/>
      <c r="Q54" s="213">
        <v>0</v>
      </c>
      <c r="R54" s="130">
        <v>0</v>
      </c>
      <c r="S54" s="130">
        <f t="shared" si="21"/>
        <v>0</v>
      </c>
      <c r="T54" s="214" t="str">
        <f t="shared" si="22"/>
        <v>-</v>
      </c>
      <c r="U54" s="207"/>
      <c r="V54" s="181">
        <f t="shared" si="23"/>
        <v>0</v>
      </c>
      <c r="W54" s="76">
        <f t="shared" si="24"/>
        <v>0</v>
      </c>
      <c r="X54" s="76">
        <f t="shared" si="25"/>
        <v>0</v>
      </c>
      <c r="Y54" s="176" t="str">
        <f t="shared" si="26"/>
        <v>-</v>
      </c>
      <c r="Z54" s="207"/>
      <c r="AA54" s="181">
        <v>0</v>
      </c>
      <c r="AB54" s="76">
        <f t="shared" si="27"/>
        <v>0</v>
      </c>
      <c r="AC54" s="176" t="str">
        <f t="shared" si="28"/>
        <v>-</v>
      </c>
      <c r="AD54" s="165"/>
      <c r="AE54" s="77"/>
    </row>
    <row r="55" spans="1:33" ht="15.75" x14ac:dyDescent="0.25">
      <c r="A55" s="145" t="s">
        <v>59</v>
      </c>
      <c r="B55" s="181">
        <v>2000</v>
      </c>
      <c r="C55" s="76">
        <v>0</v>
      </c>
      <c r="D55" s="76">
        <f t="shared" si="15"/>
        <v>2000</v>
      </c>
      <c r="E55" s="175">
        <f t="shared" si="16"/>
        <v>1</v>
      </c>
      <c r="F55" s="207"/>
      <c r="G55" s="213">
        <v>0</v>
      </c>
      <c r="H55" s="130">
        <v>1109</v>
      </c>
      <c r="I55" s="130">
        <f t="shared" si="17"/>
        <v>-1109</v>
      </c>
      <c r="J55" s="220" t="str">
        <f t="shared" si="18"/>
        <v>-</v>
      </c>
      <c r="K55" s="207"/>
      <c r="L55" s="181">
        <v>0</v>
      </c>
      <c r="M55" s="76">
        <v>0</v>
      </c>
      <c r="N55" s="76">
        <f t="shared" si="19"/>
        <v>0</v>
      </c>
      <c r="O55" s="175" t="str">
        <f t="shared" si="20"/>
        <v>-</v>
      </c>
      <c r="P55" s="207"/>
      <c r="Q55" s="213">
        <v>0</v>
      </c>
      <c r="R55" s="130">
        <v>0</v>
      </c>
      <c r="S55" s="130">
        <f t="shared" si="21"/>
        <v>0</v>
      </c>
      <c r="T55" s="220" t="str">
        <f t="shared" si="22"/>
        <v>-</v>
      </c>
      <c r="U55" s="207"/>
      <c r="V55" s="181">
        <f t="shared" si="23"/>
        <v>2000</v>
      </c>
      <c r="W55" s="76">
        <f t="shared" si="24"/>
        <v>1109</v>
      </c>
      <c r="X55" s="76">
        <f t="shared" si="25"/>
        <v>891</v>
      </c>
      <c r="Y55" s="175">
        <f t="shared" si="26"/>
        <v>0.44550000000000001</v>
      </c>
      <c r="Z55" s="207"/>
      <c r="AA55" s="181">
        <v>2000</v>
      </c>
      <c r="AB55" s="76">
        <f t="shared" si="27"/>
        <v>891</v>
      </c>
      <c r="AC55" s="175">
        <f t="shared" si="28"/>
        <v>0.44550000000000001</v>
      </c>
      <c r="AD55" s="165"/>
      <c r="AE55" s="78"/>
    </row>
    <row r="56" spans="1:33" ht="15.75" x14ac:dyDescent="0.25">
      <c r="A56" s="145" t="s">
        <v>60</v>
      </c>
      <c r="B56" s="181">
        <v>6000</v>
      </c>
      <c r="C56" s="76">
        <v>5008</v>
      </c>
      <c r="D56" s="76">
        <f t="shared" si="15"/>
        <v>992</v>
      </c>
      <c r="E56" s="175">
        <f t="shared" si="16"/>
        <v>0.16533333333333333</v>
      </c>
      <c r="F56" s="207"/>
      <c r="G56" s="213">
        <v>0</v>
      </c>
      <c r="H56" s="130">
        <v>0</v>
      </c>
      <c r="I56" s="130">
        <f t="shared" si="17"/>
        <v>0</v>
      </c>
      <c r="J56" s="220" t="str">
        <f t="shared" si="18"/>
        <v>-</v>
      </c>
      <c r="K56" s="207"/>
      <c r="L56" s="181">
        <v>0</v>
      </c>
      <c r="M56" s="76">
        <v>0</v>
      </c>
      <c r="N56" s="76">
        <f t="shared" si="19"/>
        <v>0</v>
      </c>
      <c r="O56" s="175" t="str">
        <f t="shared" si="20"/>
        <v>-</v>
      </c>
      <c r="P56" s="207"/>
      <c r="Q56" s="213">
        <v>0</v>
      </c>
      <c r="R56" s="130">
        <v>0</v>
      </c>
      <c r="S56" s="130">
        <f t="shared" si="21"/>
        <v>0</v>
      </c>
      <c r="T56" s="220" t="str">
        <f t="shared" si="22"/>
        <v>-</v>
      </c>
      <c r="U56" s="207"/>
      <c r="V56" s="181">
        <f t="shared" si="23"/>
        <v>6000</v>
      </c>
      <c r="W56" s="76">
        <f t="shared" si="24"/>
        <v>5008</v>
      </c>
      <c r="X56" s="76">
        <f t="shared" si="25"/>
        <v>992</v>
      </c>
      <c r="Y56" s="175">
        <f t="shared" si="26"/>
        <v>0.16533333333333333</v>
      </c>
      <c r="Z56" s="207"/>
      <c r="AA56" s="181">
        <v>6008</v>
      </c>
      <c r="AB56" s="76">
        <f t="shared" si="27"/>
        <v>1000</v>
      </c>
      <c r="AC56" s="175">
        <f t="shared" si="28"/>
        <v>0.16644474034620507</v>
      </c>
      <c r="AD56" s="165"/>
      <c r="AE56" s="78"/>
    </row>
    <row r="57" spans="1:33" ht="15.75" x14ac:dyDescent="0.25">
      <c r="A57" s="145" t="s">
        <v>61</v>
      </c>
      <c r="B57" s="181">
        <v>0</v>
      </c>
      <c r="C57" s="76">
        <v>0</v>
      </c>
      <c r="D57" s="76">
        <f t="shared" si="15"/>
        <v>0</v>
      </c>
      <c r="E57" s="175" t="str">
        <f t="shared" si="16"/>
        <v>-</v>
      </c>
      <c r="F57" s="205"/>
      <c r="G57" s="213">
        <v>0</v>
      </c>
      <c r="H57" s="130">
        <v>0</v>
      </c>
      <c r="I57" s="130">
        <f t="shared" si="17"/>
        <v>0</v>
      </c>
      <c r="J57" s="220" t="str">
        <f t="shared" si="18"/>
        <v>-</v>
      </c>
      <c r="K57" s="205"/>
      <c r="L57" s="181">
        <v>0</v>
      </c>
      <c r="M57" s="76">
        <v>0</v>
      </c>
      <c r="N57" s="76">
        <f t="shared" si="19"/>
        <v>0</v>
      </c>
      <c r="O57" s="175" t="str">
        <f t="shared" si="20"/>
        <v>-</v>
      </c>
      <c r="P57" s="205"/>
      <c r="Q57" s="213">
        <v>0</v>
      </c>
      <c r="R57" s="130">
        <v>0</v>
      </c>
      <c r="S57" s="130">
        <f t="shared" si="21"/>
        <v>0</v>
      </c>
      <c r="T57" s="220" t="str">
        <f t="shared" si="22"/>
        <v>-</v>
      </c>
      <c r="U57" s="205"/>
      <c r="V57" s="181">
        <f t="shared" si="23"/>
        <v>0</v>
      </c>
      <c r="W57" s="76">
        <f t="shared" si="24"/>
        <v>0</v>
      </c>
      <c r="X57" s="76">
        <f t="shared" si="25"/>
        <v>0</v>
      </c>
      <c r="Y57" s="175" t="str">
        <f t="shared" si="26"/>
        <v>-</v>
      </c>
      <c r="Z57" s="205"/>
      <c r="AA57" s="181">
        <v>0</v>
      </c>
      <c r="AB57" s="76">
        <f t="shared" si="27"/>
        <v>0</v>
      </c>
      <c r="AC57" s="175" t="str">
        <f t="shared" si="28"/>
        <v>-</v>
      </c>
      <c r="AD57" s="163"/>
      <c r="AE57" s="78"/>
    </row>
    <row r="58" spans="1:33" ht="15.75" x14ac:dyDescent="0.25">
      <c r="A58" s="145" t="s">
        <v>62</v>
      </c>
      <c r="B58" s="181">
        <v>1560</v>
      </c>
      <c r="C58" s="76">
        <v>675</v>
      </c>
      <c r="D58" s="76">
        <f t="shared" si="15"/>
        <v>885</v>
      </c>
      <c r="E58" s="175">
        <f t="shared" si="16"/>
        <v>0.56730769230769229</v>
      </c>
      <c r="F58" s="205"/>
      <c r="G58" s="213">
        <v>1023</v>
      </c>
      <c r="H58" s="130">
        <v>1208</v>
      </c>
      <c r="I58" s="130">
        <f t="shared" si="17"/>
        <v>-185</v>
      </c>
      <c r="J58" s="220">
        <f t="shared" si="18"/>
        <v>-0.18084066471163246</v>
      </c>
      <c r="K58" s="205"/>
      <c r="L58" s="181">
        <v>0</v>
      </c>
      <c r="M58" s="76">
        <v>0</v>
      </c>
      <c r="N58" s="76">
        <f t="shared" si="19"/>
        <v>0</v>
      </c>
      <c r="O58" s="175" t="str">
        <f t="shared" si="20"/>
        <v>-</v>
      </c>
      <c r="P58" s="205"/>
      <c r="Q58" s="213">
        <v>0</v>
      </c>
      <c r="R58" s="130">
        <v>0</v>
      </c>
      <c r="S58" s="130">
        <f t="shared" si="21"/>
        <v>0</v>
      </c>
      <c r="T58" s="220" t="str">
        <f t="shared" si="22"/>
        <v>-</v>
      </c>
      <c r="U58" s="205"/>
      <c r="V58" s="181">
        <f t="shared" si="23"/>
        <v>2583</v>
      </c>
      <c r="W58" s="76">
        <f t="shared" si="24"/>
        <v>1883</v>
      </c>
      <c r="X58" s="76">
        <f t="shared" si="25"/>
        <v>700</v>
      </c>
      <c r="Y58" s="175">
        <f t="shared" si="26"/>
        <v>0.27100271002710025</v>
      </c>
      <c r="Z58" s="205"/>
      <c r="AA58" s="181">
        <v>4583</v>
      </c>
      <c r="AB58" s="76">
        <f t="shared" si="27"/>
        <v>2700</v>
      </c>
      <c r="AC58" s="175">
        <f t="shared" si="28"/>
        <v>0.58913375518219502</v>
      </c>
      <c r="AD58" s="163"/>
      <c r="AE58" s="78"/>
    </row>
    <row r="59" spans="1:33" ht="15.75" x14ac:dyDescent="0.25">
      <c r="A59" s="270" t="s">
        <v>63</v>
      </c>
      <c r="B59" s="281">
        <f>48862+2500</f>
        <v>51362</v>
      </c>
      <c r="C59" s="280">
        <v>45645</v>
      </c>
      <c r="D59" s="280">
        <f t="shared" si="15"/>
        <v>5717</v>
      </c>
      <c r="E59" s="279">
        <f t="shared" si="16"/>
        <v>0.11130797087340835</v>
      </c>
      <c r="F59" s="287"/>
      <c r="G59" s="281">
        <v>0</v>
      </c>
      <c r="H59" s="280">
        <v>8</v>
      </c>
      <c r="I59" s="280">
        <f t="shared" si="17"/>
        <v>-8</v>
      </c>
      <c r="J59" s="279" t="str">
        <f t="shared" si="18"/>
        <v>-</v>
      </c>
      <c r="K59" s="287"/>
      <c r="L59" s="281">
        <v>0</v>
      </c>
      <c r="M59" s="280">
        <v>0</v>
      </c>
      <c r="N59" s="280">
        <f t="shared" si="19"/>
        <v>0</v>
      </c>
      <c r="O59" s="279" t="str">
        <f t="shared" si="20"/>
        <v>-</v>
      </c>
      <c r="P59" s="287"/>
      <c r="Q59" s="281">
        <v>0</v>
      </c>
      <c r="R59" s="280">
        <v>0</v>
      </c>
      <c r="S59" s="280">
        <f t="shared" si="21"/>
        <v>0</v>
      </c>
      <c r="T59" s="279" t="str">
        <f t="shared" si="22"/>
        <v>-</v>
      </c>
      <c r="U59" s="287"/>
      <c r="V59" s="281">
        <f t="shared" si="23"/>
        <v>51362</v>
      </c>
      <c r="W59" s="280">
        <f t="shared" si="24"/>
        <v>45653</v>
      </c>
      <c r="X59" s="280">
        <f t="shared" si="25"/>
        <v>5709</v>
      </c>
      <c r="Y59" s="279">
        <f t="shared" si="26"/>
        <v>0.1111522136988435</v>
      </c>
      <c r="Z59" s="287"/>
      <c r="AA59" s="281">
        <f>2500+80742</f>
        <v>83242</v>
      </c>
      <c r="AB59" s="280">
        <f t="shared" si="27"/>
        <v>37589</v>
      </c>
      <c r="AC59" s="279">
        <f t="shared" si="28"/>
        <v>0.45156291295259604</v>
      </c>
      <c r="AD59" s="286"/>
      <c r="AE59" s="277"/>
      <c r="AF59" s="276"/>
      <c r="AG59" s="276"/>
    </row>
    <row r="60" spans="1:33" ht="15.75" x14ac:dyDescent="0.25">
      <c r="A60" s="270" t="s">
        <v>193</v>
      </c>
      <c r="B60" s="281">
        <f>10500+8522</f>
        <v>19022</v>
      </c>
      <c r="C60" s="280">
        <v>355</v>
      </c>
      <c r="D60" s="280">
        <f t="shared" si="15"/>
        <v>18667</v>
      </c>
      <c r="E60" s="279">
        <f t="shared" si="16"/>
        <v>0.98133739880138782</v>
      </c>
      <c r="F60" s="287"/>
      <c r="G60" s="281">
        <v>3978</v>
      </c>
      <c r="H60" s="280">
        <v>3085</v>
      </c>
      <c r="I60" s="280">
        <f t="shared" si="17"/>
        <v>893</v>
      </c>
      <c r="J60" s="279">
        <f t="shared" si="18"/>
        <v>0.22448466566113626</v>
      </c>
      <c r="K60" s="287"/>
      <c r="L60" s="281">
        <v>0</v>
      </c>
      <c r="M60" s="280">
        <v>0</v>
      </c>
      <c r="N60" s="280">
        <f t="shared" si="19"/>
        <v>0</v>
      </c>
      <c r="O60" s="279" t="str">
        <f t="shared" si="20"/>
        <v>-</v>
      </c>
      <c r="P60" s="287"/>
      <c r="Q60" s="281">
        <v>0</v>
      </c>
      <c r="R60" s="280">
        <v>0</v>
      </c>
      <c r="S60" s="280">
        <f t="shared" si="21"/>
        <v>0</v>
      </c>
      <c r="T60" s="279" t="str">
        <f t="shared" si="22"/>
        <v>-</v>
      </c>
      <c r="U60" s="287"/>
      <c r="V60" s="281">
        <f t="shared" si="23"/>
        <v>23000</v>
      </c>
      <c r="W60" s="280">
        <f t="shared" si="24"/>
        <v>3440</v>
      </c>
      <c r="X60" s="280">
        <f t="shared" si="25"/>
        <v>19560</v>
      </c>
      <c r="Y60" s="279">
        <f t="shared" si="26"/>
        <v>0.85043478260869565</v>
      </c>
      <c r="Z60" s="287"/>
      <c r="AA60" s="281">
        <f>33013+1250</f>
        <v>34263</v>
      </c>
      <c r="AB60" s="280">
        <f t="shared" si="27"/>
        <v>30823</v>
      </c>
      <c r="AC60" s="279">
        <f t="shared" si="28"/>
        <v>0.89960015176721242</v>
      </c>
      <c r="AD60" s="286"/>
      <c r="AE60" s="277"/>
      <c r="AF60" s="276"/>
      <c r="AG60" s="276"/>
    </row>
    <row r="61" spans="1:33" ht="15.75" x14ac:dyDescent="0.25">
      <c r="A61" s="285" t="s">
        <v>65</v>
      </c>
      <c r="B61" s="281">
        <f>6600+1200+3960+2925+766+2180+2628+111918</f>
        <v>132177</v>
      </c>
      <c r="C61" s="280">
        <f>3600+1621+3925+1387+242+1537+11+47092</f>
        <v>59415</v>
      </c>
      <c r="D61" s="280">
        <f t="shared" si="15"/>
        <v>72762</v>
      </c>
      <c r="E61" s="279">
        <f t="shared" si="16"/>
        <v>0.55048911686602053</v>
      </c>
      <c r="F61" s="282"/>
      <c r="G61" s="281">
        <f>9232+3884+50-55857</f>
        <v>-42691</v>
      </c>
      <c r="H61" s="280">
        <f>1578+21047</f>
        <v>22625</v>
      </c>
      <c r="I61" s="280">
        <f t="shared" si="17"/>
        <v>-65316</v>
      </c>
      <c r="J61" s="279">
        <f t="shared" si="18"/>
        <v>1.5299711883066689</v>
      </c>
      <c r="K61" s="282"/>
      <c r="L61" s="281">
        <v>0</v>
      </c>
      <c r="M61" s="280">
        <v>0</v>
      </c>
      <c r="N61" s="280">
        <f t="shared" si="19"/>
        <v>0</v>
      </c>
      <c r="O61" s="279" t="str">
        <f t="shared" si="20"/>
        <v>-</v>
      </c>
      <c r="P61" s="282"/>
      <c r="Q61" s="281">
        <v>0</v>
      </c>
      <c r="R61" s="280">
        <v>0</v>
      </c>
      <c r="S61" s="280">
        <f t="shared" si="21"/>
        <v>0</v>
      </c>
      <c r="T61" s="279" t="str">
        <f t="shared" si="22"/>
        <v>-</v>
      </c>
      <c r="U61" s="282"/>
      <c r="V61" s="281">
        <f t="shared" si="23"/>
        <v>89486</v>
      </c>
      <c r="W61" s="280">
        <f t="shared" si="24"/>
        <v>82040</v>
      </c>
      <c r="X61" s="280">
        <f t="shared" si="25"/>
        <v>7446</v>
      </c>
      <c r="Y61" s="279">
        <f t="shared" si="26"/>
        <v>8.3208546588293145E-2</v>
      </c>
      <c r="Z61" s="282"/>
      <c r="AA61" s="281">
        <f>21300+5221+11652+5275+5765+5040+2625+189933</f>
        <v>246811</v>
      </c>
      <c r="AB61" s="280">
        <f t="shared" si="27"/>
        <v>164771</v>
      </c>
      <c r="AC61" s="279">
        <f t="shared" si="28"/>
        <v>0.66759990438027483</v>
      </c>
      <c r="AD61" s="278"/>
      <c r="AE61" s="277"/>
      <c r="AF61" s="276"/>
      <c r="AG61" s="276"/>
    </row>
    <row r="62" spans="1:33" ht="15.75" x14ac:dyDescent="0.25">
      <c r="A62" s="145" t="s">
        <v>66</v>
      </c>
      <c r="B62" s="181">
        <v>672</v>
      </c>
      <c r="C62" s="76">
        <v>672</v>
      </c>
      <c r="D62" s="76">
        <f t="shared" si="15"/>
        <v>0</v>
      </c>
      <c r="E62" s="176">
        <f t="shared" si="16"/>
        <v>0</v>
      </c>
      <c r="F62" s="207"/>
      <c r="G62" s="213">
        <v>0</v>
      </c>
      <c r="H62" s="130">
        <v>0</v>
      </c>
      <c r="I62" s="130">
        <f t="shared" si="17"/>
        <v>0</v>
      </c>
      <c r="J62" s="214" t="str">
        <f t="shared" si="18"/>
        <v>-</v>
      </c>
      <c r="K62" s="207"/>
      <c r="L62" s="181">
        <v>0</v>
      </c>
      <c r="M62" s="76">
        <v>0</v>
      </c>
      <c r="N62" s="76">
        <f t="shared" si="19"/>
        <v>0</v>
      </c>
      <c r="O62" s="176" t="str">
        <f t="shared" si="20"/>
        <v>-</v>
      </c>
      <c r="P62" s="207"/>
      <c r="Q62" s="213">
        <v>0</v>
      </c>
      <c r="R62" s="130">
        <v>0</v>
      </c>
      <c r="S62" s="130">
        <f t="shared" si="21"/>
        <v>0</v>
      </c>
      <c r="T62" s="214" t="str">
        <f t="shared" si="22"/>
        <v>-</v>
      </c>
      <c r="U62" s="207"/>
      <c r="V62" s="181">
        <f t="shared" si="23"/>
        <v>672</v>
      </c>
      <c r="W62" s="76">
        <f t="shared" si="24"/>
        <v>672</v>
      </c>
      <c r="X62" s="76">
        <f t="shared" si="25"/>
        <v>0</v>
      </c>
      <c r="Y62" s="176">
        <f t="shared" si="26"/>
        <v>0</v>
      </c>
      <c r="Z62" s="207"/>
      <c r="AA62" s="181">
        <v>672</v>
      </c>
      <c r="AB62" s="76">
        <f t="shared" si="27"/>
        <v>0</v>
      </c>
      <c r="AC62" s="176">
        <f t="shared" si="28"/>
        <v>0</v>
      </c>
      <c r="AD62" s="165"/>
      <c r="AE62" s="77"/>
    </row>
    <row r="63" spans="1:33" ht="15.75" x14ac:dyDescent="0.25">
      <c r="A63" s="145" t="s">
        <v>67</v>
      </c>
      <c r="B63" s="181"/>
      <c r="C63" s="76"/>
      <c r="D63" s="76"/>
      <c r="E63" s="176"/>
      <c r="F63" s="207"/>
      <c r="G63" s="213"/>
      <c r="H63" s="130"/>
      <c r="I63" s="130"/>
      <c r="J63" s="214"/>
      <c r="K63" s="207"/>
      <c r="L63" s="181"/>
      <c r="M63" s="76"/>
      <c r="N63" s="76"/>
      <c r="O63" s="176"/>
      <c r="P63" s="207"/>
      <c r="Q63" s="213"/>
      <c r="R63" s="130"/>
      <c r="S63" s="130"/>
      <c r="T63" s="214"/>
      <c r="U63" s="207"/>
      <c r="V63" s="181"/>
      <c r="W63" s="76"/>
      <c r="X63" s="76"/>
      <c r="Y63" s="176"/>
      <c r="Z63" s="207"/>
      <c r="AA63" s="181"/>
      <c r="AB63" s="76"/>
      <c r="AC63" s="176"/>
      <c r="AD63" s="165"/>
      <c r="AE63" s="77"/>
    </row>
    <row r="64" spans="1:33" ht="24" customHeight="1" x14ac:dyDescent="0.25">
      <c r="A64" s="284" t="s">
        <v>194</v>
      </c>
      <c r="B64" s="181">
        <f>12702+5000</f>
        <v>17702</v>
      </c>
      <c r="C64" s="76">
        <f>25217+323</f>
        <v>25540</v>
      </c>
      <c r="D64" s="76">
        <f>B64-C64</f>
        <v>-7838</v>
      </c>
      <c r="E64" s="175">
        <f>IF(ISERROR(D64/B64),"-",D64/B64)</f>
        <v>-0.44277482770308441</v>
      </c>
      <c r="F64" s="207"/>
      <c r="G64" s="213">
        <f>12702+323</f>
        <v>13025</v>
      </c>
      <c r="H64" s="130">
        <v>36165</v>
      </c>
      <c r="I64" s="130">
        <f>G64-H64</f>
        <v>-23140</v>
      </c>
      <c r="J64" s="220">
        <f>IF(ISERROR(I64/G64),"-",I64/G64)</f>
        <v>-1.7765834932821498</v>
      </c>
      <c r="K64" s="207"/>
      <c r="L64" s="181">
        <v>0</v>
      </c>
      <c r="M64" s="76">
        <v>0</v>
      </c>
      <c r="N64" s="76">
        <f>L64-M64</f>
        <v>0</v>
      </c>
      <c r="O64" s="175" t="str">
        <f>IF(ISERROR(N64/L64),"-",N64/L64)</f>
        <v>-</v>
      </c>
      <c r="P64" s="207"/>
      <c r="Q64" s="213">
        <v>0</v>
      </c>
      <c r="R64" s="130">
        <v>0</v>
      </c>
      <c r="S64" s="130">
        <f>Q64-R64</f>
        <v>0</v>
      </c>
      <c r="T64" s="220" t="str">
        <f>IF(ISERROR(S64/Q64),"-",S64/Q64)</f>
        <v>-</v>
      </c>
      <c r="U64" s="207"/>
      <c r="V64" s="181">
        <f>B64+G64+L64+Q64</f>
        <v>30727</v>
      </c>
      <c r="W64" s="76">
        <f>C64+H64+M64+R64</f>
        <v>61705</v>
      </c>
      <c r="X64" s="76">
        <f>V64-W64</f>
        <v>-30978</v>
      </c>
      <c r="Y64" s="175">
        <f>IF(ISERROR(X64/V64),"-",X64/V64)</f>
        <v>-1.0081687115566114</v>
      </c>
      <c r="Z64" s="207"/>
      <c r="AA64" s="181">
        <f>38109</f>
        <v>38109</v>
      </c>
      <c r="AB64" s="76">
        <f>AA64-W64</f>
        <v>-23596</v>
      </c>
      <c r="AC64" s="175">
        <f>IF(ISERROR(AB64/AA64),"-",AB64/AA64)</f>
        <v>-0.61917132435907529</v>
      </c>
      <c r="AD64" s="165"/>
      <c r="AE64" s="78"/>
      <c r="AF64" s="283"/>
    </row>
    <row r="65" spans="1:32" ht="23.25" customHeight="1" x14ac:dyDescent="0.25">
      <c r="A65" s="284" t="s">
        <v>69</v>
      </c>
      <c r="B65" s="181"/>
      <c r="C65" s="76"/>
      <c r="D65" s="76"/>
      <c r="E65" s="175"/>
      <c r="F65" s="207"/>
      <c r="G65" s="213"/>
      <c r="H65" s="130"/>
      <c r="I65" s="130"/>
      <c r="J65" s="220"/>
      <c r="K65" s="207"/>
      <c r="L65" s="181"/>
      <c r="M65" s="76"/>
      <c r="N65" s="76"/>
      <c r="O65" s="175"/>
      <c r="P65" s="207"/>
      <c r="Q65" s="213"/>
      <c r="R65" s="130"/>
      <c r="S65" s="130"/>
      <c r="T65" s="220"/>
      <c r="U65" s="207"/>
      <c r="V65" s="181"/>
      <c r="W65" s="76"/>
      <c r="X65" s="76"/>
      <c r="Y65" s="175"/>
      <c r="Z65" s="207"/>
      <c r="AA65" s="181"/>
      <c r="AB65" s="76"/>
      <c r="AC65" s="175"/>
      <c r="AD65" s="165"/>
      <c r="AE65" s="78"/>
      <c r="AF65" s="283"/>
    </row>
    <row r="66" spans="1:32" ht="15.75" x14ac:dyDescent="0.25">
      <c r="A66" s="145" t="s">
        <v>70</v>
      </c>
      <c r="B66" s="181">
        <v>104133</v>
      </c>
      <c r="C66" s="76">
        <f>104130</f>
        <v>104130</v>
      </c>
      <c r="D66" s="76">
        <f>B66-C66</f>
        <v>3</v>
      </c>
      <c r="E66" s="175">
        <f>IF(ISERROR(D66/B66),"-",D66/B66)</f>
        <v>2.8809311169369939E-5</v>
      </c>
      <c r="F66" s="205"/>
      <c r="G66" s="213">
        <v>104133</v>
      </c>
      <c r="H66" s="130">
        <v>104130</v>
      </c>
      <c r="I66" s="130">
        <f>G66-H66</f>
        <v>3</v>
      </c>
      <c r="J66" s="220">
        <f>IF(ISERROR(I66/G66),"-",I66/G66)</f>
        <v>2.8809311169369939E-5</v>
      </c>
      <c r="K66" s="205"/>
      <c r="L66" s="181">
        <v>0</v>
      </c>
      <c r="M66" s="76">
        <v>0</v>
      </c>
      <c r="N66" s="76">
        <f>L66-M66</f>
        <v>0</v>
      </c>
      <c r="O66" s="176" t="str">
        <f>IF(ISERROR(N66/L66),"-",N66/L66)</f>
        <v>-</v>
      </c>
      <c r="P66" s="205"/>
      <c r="Q66" s="213">
        <v>0</v>
      </c>
      <c r="R66" s="130">
        <v>0</v>
      </c>
      <c r="S66" s="130">
        <f>Q66-R66</f>
        <v>0</v>
      </c>
      <c r="T66" s="214" t="str">
        <f>IF(ISERROR(S66/Q66),"-",S66/Q66)</f>
        <v>-</v>
      </c>
      <c r="U66" s="205"/>
      <c r="V66" s="181">
        <f>B66+G66+L66+Q66</f>
        <v>208266</v>
      </c>
      <c r="W66" s="76">
        <f>C66+H66+M66+R66</f>
        <v>208260</v>
      </c>
      <c r="X66" s="76">
        <f>V66-W66</f>
        <v>6</v>
      </c>
      <c r="Y66" s="175">
        <f>IF(ISERROR(X66/V66),"-",X66/V66)</f>
        <v>2.8809311169369939E-5</v>
      </c>
      <c r="Z66" s="205"/>
      <c r="AA66" s="181">
        <f>416532+5323</f>
        <v>421855</v>
      </c>
      <c r="AB66" s="76">
        <f>AA66-W66</f>
        <v>213595</v>
      </c>
      <c r="AC66" s="175">
        <f>IF(ISERROR(AB66/AA66),"-",AB66/AA66)</f>
        <v>0.50632326273245543</v>
      </c>
      <c r="AD66" s="163"/>
      <c r="AE66" s="77"/>
    </row>
    <row r="67" spans="1:32" ht="15.75" x14ac:dyDescent="0.25">
      <c r="A67" s="145" t="s">
        <v>71</v>
      </c>
      <c r="B67" s="181"/>
      <c r="C67" s="76"/>
      <c r="D67" s="76"/>
      <c r="E67" s="176"/>
      <c r="F67" s="205"/>
      <c r="G67" s="213"/>
      <c r="H67" s="130"/>
      <c r="I67" s="130"/>
      <c r="J67" s="214"/>
      <c r="K67" s="205"/>
      <c r="L67" s="181"/>
      <c r="M67" s="76"/>
      <c r="N67" s="76"/>
      <c r="O67" s="176"/>
      <c r="P67" s="205"/>
      <c r="Q67" s="213"/>
      <c r="R67" s="130"/>
      <c r="S67" s="130"/>
      <c r="T67" s="214"/>
      <c r="U67" s="205"/>
      <c r="V67" s="181"/>
      <c r="W67" s="76"/>
      <c r="X67" s="76"/>
      <c r="Y67" s="176"/>
      <c r="Z67" s="205"/>
      <c r="AA67" s="181"/>
      <c r="AB67" s="76"/>
      <c r="AC67" s="176"/>
      <c r="AD67" s="163"/>
      <c r="AE67" s="77"/>
    </row>
    <row r="68" spans="1:32" ht="15.75" x14ac:dyDescent="0.25">
      <c r="A68" s="145" t="s">
        <v>72</v>
      </c>
      <c r="B68" s="181">
        <v>0</v>
      </c>
      <c r="C68" s="76">
        <v>0</v>
      </c>
      <c r="D68" s="76">
        <f>B68-C68</f>
        <v>0</v>
      </c>
      <c r="E68" s="176" t="str">
        <f>IF(ISERROR(D68/B68),"-",D68/B68)</f>
        <v>-</v>
      </c>
      <c r="F68" s="207"/>
      <c r="G68" s="213">
        <v>0</v>
      </c>
      <c r="H68" s="130">
        <v>0</v>
      </c>
      <c r="I68" s="130">
        <f>G68-H68</f>
        <v>0</v>
      </c>
      <c r="J68" s="214" t="str">
        <f>IF(ISERROR(I68/G68),"-",I68/G68)</f>
        <v>-</v>
      </c>
      <c r="K68" s="207"/>
      <c r="L68" s="181">
        <v>0</v>
      </c>
      <c r="M68" s="76">
        <v>0</v>
      </c>
      <c r="N68" s="76">
        <f>L68-M68</f>
        <v>0</v>
      </c>
      <c r="O68" s="176" t="str">
        <f>IF(ISERROR(N68/L68),"-",N68/L68)</f>
        <v>-</v>
      </c>
      <c r="P68" s="207"/>
      <c r="Q68" s="213">
        <v>0</v>
      </c>
      <c r="R68" s="130">
        <v>0</v>
      </c>
      <c r="S68" s="130">
        <f>Q68-R68</f>
        <v>0</v>
      </c>
      <c r="T68" s="214" t="str">
        <f>IF(ISERROR(S68/Q68),"-",S68/Q68)</f>
        <v>-</v>
      </c>
      <c r="U68" s="207"/>
      <c r="V68" s="181">
        <f>B68+G68+L68+Q68</f>
        <v>0</v>
      </c>
      <c r="W68" s="76">
        <f>C68+H68+M68+R68</f>
        <v>0</v>
      </c>
      <c r="X68" s="76">
        <f>V68-W68</f>
        <v>0</v>
      </c>
      <c r="Y68" s="176" t="str">
        <f>IF(ISERROR(X68/V68),"-",X68/V68)</f>
        <v>-</v>
      </c>
      <c r="Z68" s="207"/>
      <c r="AA68" s="181">
        <v>0</v>
      </c>
      <c r="AB68" s="76">
        <f>AA68-W68</f>
        <v>0</v>
      </c>
      <c r="AC68" s="176" t="str">
        <f>IF(ISERROR(AB68/AA68),"-",AB68/AA68)</f>
        <v>-</v>
      </c>
      <c r="AD68" s="165"/>
      <c r="AE68" s="77"/>
    </row>
    <row r="69" spans="1:32" ht="30" customHeight="1" x14ac:dyDescent="0.25">
      <c r="A69" s="145" t="s">
        <v>73</v>
      </c>
      <c r="B69" s="181">
        <f>750+672</f>
        <v>1422</v>
      </c>
      <c r="C69" s="76">
        <f>250+672</f>
        <v>922</v>
      </c>
      <c r="D69" s="76">
        <f>B69-C69</f>
        <v>500</v>
      </c>
      <c r="E69" s="175">
        <f>IF(ISERROR(D69/B69),"-",D69/B69)</f>
        <v>0.35161744022503516</v>
      </c>
      <c r="F69" s="207"/>
      <c r="G69" s="213">
        <v>673</v>
      </c>
      <c r="H69" s="130">
        <v>0</v>
      </c>
      <c r="I69" s="130">
        <f>G69-H69</f>
        <v>673</v>
      </c>
      <c r="J69" s="220">
        <f>IF(ISERROR(I69/G69),"-",I69/G69)</f>
        <v>1</v>
      </c>
      <c r="K69" s="207"/>
      <c r="L69" s="181">
        <v>0</v>
      </c>
      <c r="M69" s="76">
        <v>0</v>
      </c>
      <c r="N69" s="76">
        <f>L69-M69</f>
        <v>0</v>
      </c>
      <c r="O69" s="175" t="str">
        <f>IF(ISERROR(N69/L69),"-",N69/L69)</f>
        <v>-</v>
      </c>
      <c r="P69" s="207"/>
      <c r="Q69" s="213">
        <v>0</v>
      </c>
      <c r="R69" s="130">
        <v>0</v>
      </c>
      <c r="S69" s="130">
        <f>Q69-R69</f>
        <v>0</v>
      </c>
      <c r="T69" s="220" t="str">
        <f>IF(ISERROR(S69/Q69),"-",S69/Q69)</f>
        <v>-</v>
      </c>
      <c r="U69" s="207"/>
      <c r="V69" s="181">
        <f>B69+G69+L69+Q69</f>
        <v>2095</v>
      </c>
      <c r="W69" s="76">
        <f>C69+H69+M69+R69</f>
        <v>922</v>
      </c>
      <c r="X69" s="76">
        <f>V69-W69</f>
        <v>1173</v>
      </c>
      <c r="Y69" s="175">
        <f>IF(ISERROR(X69/V69),"-",X69/V69)</f>
        <v>0.55990453460620526</v>
      </c>
      <c r="Z69" s="207"/>
      <c r="AA69" s="181">
        <f>750+1345</f>
        <v>2095</v>
      </c>
      <c r="AB69" s="76">
        <f>AA69-W69</f>
        <v>1173</v>
      </c>
      <c r="AC69" s="175">
        <f>IF(ISERROR(AB69/AA69),"-",AB69/AA69)</f>
        <v>0.55990453460620526</v>
      </c>
      <c r="AD69" s="165"/>
      <c r="AE69" s="78"/>
    </row>
    <row r="70" spans="1:32" ht="21" customHeight="1" x14ac:dyDescent="0.25">
      <c r="A70" s="145" t="s">
        <v>195</v>
      </c>
      <c r="B70" s="181">
        <v>0</v>
      </c>
      <c r="C70" s="76">
        <v>0</v>
      </c>
      <c r="D70" s="76">
        <f>B70-C70</f>
        <v>0</v>
      </c>
      <c r="E70" s="175" t="str">
        <f>IF(ISERROR(D70/B70),"-",D70/B70)</f>
        <v>-</v>
      </c>
      <c r="F70" s="207"/>
      <c r="G70" s="213">
        <v>0</v>
      </c>
      <c r="H70" s="130">
        <v>0</v>
      </c>
      <c r="I70" s="130">
        <f>G70-H70</f>
        <v>0</v>
      </c>
      <c r="J70" s="220" t="str">
        <f>IF(ISERROR(I70/G70),"-",I70/G70)</f>
        <v>-</v>
      </c>
      <c r="K70" s="207"/>
      <c r="L70" s="181">
        <v>0</v>
      </c>
      <c r="M70" s="76">
        <v>0</v>
      </c>
      <c r="N70" s="76">
        <f>L70-M70</f>
        <v>0</v>
      </c>
      <c r="O70" s="175" t="str">
        <f>IF(ISERROR(N70/L70),"-",N70/L70)</f>
        <v>-</v>
      </c>
      <c r="P70" s="207"/>
      <c r="Q70" s="213">
        <v>0</v>
      </c>
      <c r="R70" s="130">
        <v>0</v>
      </c>
      <c r="S70" s="130">
        <f>Q70-R70</f>
        <v>0</v>
      </c>
      <c r="T70" s="220" t="str">
        <f>IF(ISERROR(S70/Q70),"-",S70/Q70)</f>
        <v>-</v>
      </c>
      <c r="U70" s="207"/>
      <c r="V70" s="181">
        <v>0</v>
      </c>
      <c r="W70" s="76">
        <f>C70+H70+M70+R70</f>
        <v>0</v>
      </c>
      <c r="X70" s="76">
        <f>V70-W70</f>
        <v>0</v>
      </c>
      <c r="Y70" s="175" t="str">
        <f>IF(ISERROR(X70/V70),"-",X70/V70)</f>
        <v>-</v>
      </c>
      <c r="Z70" s="207"/>
      <c r="AA70" s="181">
        <v>45000</v>
      </c>
      <c r="AB70" s="76">
        <f>AA70-W70</f>
        <v>45000</v>
      </c>
      <c r="AC70" s="175">
        <f>IF(ISERROR(AB70/AA70),"-",AB70/AA70)</f>
        <v>1</v>
      </c>
      <c r="AD70" s="165"/>
      <c r="AE70" s="78"/>
    </row>
    <row r="71" spans="1:32" ht="21" customHeight="1" x14ac:dyDescent="0.25">
      <c r="A71" s="145" t="s">
        <v>75</v>
      </c>
      <c r="B71" s="181"/>
      <c r="C71" s="76"/>
      <c r="D71" s="76"/>
      <c r="E71" s="175"/>
      <c r="F71" s="207"/>
      <c r="G71" s="213"/>
      <c r="H71" s="130"/>
      <c r="I71" s="130"/>
      <c r="J71" s="220"/>
      <c r="K71" s="207"/>
      <c r="L71" s="181"/>
      <c r="M71" s="76"/>
      <c r="N71" s="76"/>
      <c r="O71" s="175"/>
      <c r="P71" s="207"/>
      <c r="Q71" s="213"/>
      <c r="R71" s="130"/>
      <c r="S71" s="130"/>
      <c r="T71" s="220"/>
      <c r="U71" s="207"/>
      <c r="V71" s="181"/>
      <c r="W71" s="76"/>
      <c r="X71" s="76"/>
      <c r="Y71" s="175"/>
      <c r="Z71" s="207"/>
      <c r="AA71" s="181"/>
      <c r="AB71" s="76"/>
      <c r="AC71" s="175"/>
      <c r="AD71" s="165"/>
      <c r="AE71" s="78"/>
    </row>
    <row r="72" spans="1:32" ht="21" customHeight="1" x14ac:dyDescent="0.25">
      <c r="A72" s="145" t="s">
        <v>76</v>
      </c>
      <c r="B72" s="181"/>
      <c r="C72" s="76"/>
      <c r="D72" s="76"/>
      <c r="E72" s="175"/>
      <c r="F72" s="207"/>
      <c r="G72" s="213"/>
      <c r="H72" s="130"/>
      <c r="I72" s="130"/>
      <c r="J72" s="220"/>
      <c r="K72" s="207"/>
      <c r="L72" s="181"/>
      <c r="M72" s="76"/>
      <c r="N72" s="76"/>
      <c r="O72" s="175"/>
      <c r="P72" s="207"/>
      <c r="Q72" s="213"/>
      <c r="R72" s="130"/>
      <c r="S72" s="130"/>
      <c r="T72" s="220"/>
      <c r="U72" s="207"/>
      <c r="V72" s="181"/>
      <c r="W72" s="76"/>
      <c r="X72" s="76"/>
      <c r="Y72" s="175"/>
      <c r="Z72" s="207"/>
      <c r="AA72" s="181"/>
      <c r="AB72" s="76"/>
      <c r="AC72" s="175"/>
      <c r="AD72" s="165"/>
      <c r="AE72" s="78"/>
    </row>
    <row r="73" spans="1:32" ht="22.5" customHeight="1" x14ac:dyDescent="0.25">
      <c r="A73" s="145" t="s">
        <v>77</v>
      </c>
      <c r="B73" s="181">
        <v>30600</v>
      </c>
      <c r="C73" s="76">
        <v>24211</v>
      </c>
      <c r="D73" s="76">
        <f>B73-C73</f>
        <v>6389</v>
      </c>
      <c r="E73" s="175">
        <f>IF(ISERROR(D73/B73),"-",D73/B73)</f>
        <v>0.20879084967320261</v>
      </c>
      <c r="F73" s="205"/>
      <c r="G73" s="213">
        <v>30228</v>
      </c>
      <c r="H73" s="130">
        <v>17553</v>
      </c>
      <c r="I73" s="130">
        <f>G73-H73</f>
        <v>12675</v>
      </c>
      <c r="J73" s="220">
        <f>IF(ISERROR(I73/G73),"-",I73/G73)</f>
        <v>0.41931321953156014</v>
      </c>
      <c r="K73" s="205"/>
      <c r="L73" s="181">
        <v>0</v>
      </c>
      <c r="M73" s="76">
        <v>0</v>
      </c>
      <c r="N73" s="76">
        <f>L73-M73</f>
        <v>0</v>
      </c>
      <c r="O73" s="175" t="str">
        <f>IF(ISERROR(N73/L73),"-",N73/L73)</f>
        <v>-</v>
      </c>
      <c r="P73" s="205"/>
      <c r="Q73" s="213">
        <v>0</v>
      </c>
      <c r="R73" s="130">
        <v>0</v>
      </c>
      <c r="S73" s="130">
        <f>Q73-R73</f>
        <v>0</v>
      </c>
      <c r="T73" s="220" t="str">
        <f>IF(ISERROR(S73/Q73),"-",S73/Q73)</f>
        <v>-</v>
      </c>
      <c r="U73" s="205"/>
      <c r="V73" s="181">
        <f>B73+G73+L73+Q73</f>
        <v>60828</v>
      </c>
      <c r="W73" s="76">
        <f>C73+H73+M73+R73</f>
        <v>41764</v>
      </c>
      <c r="X73" s="76">
        <f>V73-W73</f>
        <v>19064</v>
      </c>
      <c r="Y73" s="175">
        <f>IF(ISERROR(X73/V73),"-",X73/V73)</f>
        <v>0.31340829880975868</v>
      </c>
      <c r="Z73" s="205"/>
      <c r="AA73" s="181">
        <v>119794</v>
      </c>
      <c r="AB73" s="76">
        <f>AA73-W73</f>
        <v>78030</v>
      </c>
      <c r="AC73" s="175">
        <f>IF(ISERROR(AB73/AA73),"-",AB73/AA73)</f>
        <v>0.65136818204584535</v>
      </c>
      <c r="AD73" s="163"/>
      <c r="AE73" s="78"/>
    </row>
    <row r="74" spans="1:32" ht="16.5" customHeight="1" x14ac:dyDescent="0.25">
      <c r="A74" s="145" t="s">
        <v>160</v>
      </c>
      <c r="B74" s="281"/>
      <c r="C74" s="280"/>
      <c r="D74" s="280"/>
      <c r="E74" s="279"/>
      <c r="F74" s="282"/>
      <c r="G74" s="281"/>
      <c r="H74" s="280"/>
      <c r="I74" s="130"/>
      <c r="J74" s="220"/>
      <c r="K74" s="207"/>
      <c r="L74" s="181"/>
      <c r="M74" s="76"/>
      <c r="N74" s="76"/>
      <c r="O74" s="175"/>
      <c r="P74" s="207"/>
      <c r="Q74" s="213"/>
      <c r="R74" s="130"/>
      <c r="S74" s="130"/>
      <c r="T74" s="220"/>
      <c r="U74" s="207"/>
      <c r="V74" s="181"/>
      <c r="W74" s="250"/>
      <c r="X74" s="250"/>
      <c r="Y74" s="304"/>
      <c r="Z74" s="207"/>
      <c r="AA74" s="181"/>
      <c r="AB74" s="250"/>
      <c r="AC74" s="304"/>
      <c r="AD74" s="165"/>
      <c r="AE74" s="77"/>
    </row>
    <row r="75" spans="1:32" ht="16.5" customHeight="1" x14ac:dyDescent="0.25">
      <c r="A75" s="145"/>
      <c r="B75" s="281"/>
      <c r="C75" s="280"/>
      <c r="D75" s="280"/>
      <c r="E75" s="279"/>
      <c r="F75" s="282"/>
      <c r="G75" s="281"/>
      <c r="H75" s="280"/>
      <c r="I75" s="130"/>
      <c r="J75" s="220"/>
      <c r="K75" s="207"/>
      <c r="L75" s="181"/>
      <c r="M75" s="76"/>
      <c r="N75" s="76"/>
      <c r="O75" s="175"/>
      <c r="P75" s="207"/>
      <c r="Q75" s="213"/>
      <c r="R75" s="130"/>
      <c r="S75" s="130"/>
      <c r="T75" s="220"/>
      <c r="U75" s="207"/>
      <c r="V75" s="181"/>
      <c r="W75" s="250"/>
      <c r="X75" s="250"/>
      <c r="Y75" s="304"/>
      <c r="Z75" s="207"/>
      <c r="AA75" s="181"/>
      <c r="AB75" s="250"/>
      <c r="AC75" s="304"/>
      <c r="AD75" s="165"/>
      <c r="AE75" s="77"/>
    </row>
    <row r="76" spans="1:32" ht="15.75" x14ac:dyDescent="0.25">
      <c r="A76" s="146" t="s">
        <v>79</v>
      </c>
      <c r="B76" s="290">
        <f>SUM(B42:B73)</f>
        <v>482948.49</v>
      </c>
      <c r="C76" s="291">
        <f>SUM(C42:C73)</f>
        <v>393441</v>
      </c>
      <c r="D76" s="291">
        <f>SUM(D42:D73)</f>
        <v>89507.49</v>
      </c>
      <c r="E76" s="292">
        <f>IF(ISERROR(D76/B76),"-",D76/B76)</f>
        <v>0.18533547956636123</v>
      </c>
      <c r="F76" s="293"/>
      <c r="G76" s="290">
        <f>SUM(G42:G73)</f>
        <v>217961</v>
      </c>
      <c r="H76" s="291">
        <f>SUM(H42:H73)</f>
        <v>277908</v>
      </c>
      <c r="I76" s="110">
        <f>SUM(I42:I73)</f>
        <v>-59947</v>
      </c>
      <c r="J76" s="178">
        <f>IF(ISERROR(I76/G76),"-",I76/G76)</f>
        <v>-0.27503544212037934</v>
      </c>
      <c r="K76" s="206"/>
      <c r="L76" s="177">
        <f>SUM(L42:L73)</f>
        <v>0</v>
      </c>
      <c r="M76" s="110">
        <f>SUM(M42:M73)</f>
        <v>0</v>
      </c>
      <c r="N76" s="110">
        <f>SUM(N42:N73)</f>
        <v>0</v>
      </c>
      <c r="O76" s="178" t="str">
        <f>IF(ISERROR(N76/L76),"-",N76/L76)</f>
        <v>-</v>
      </c>
      <c r="P76" s="206"/>
      <c r="Q76" s="177">
        <f>SUM(Q42:Q73)</f>
        <v>0</v>
      </c>
      <c r="R76" s="110">
        <f>SUM(R42:R73)</f>
        <v>0</v>
      </c>
      <c r="S76" s="110">
        <f>SUM(S42:S73)</f>
        <v>0</v>
      </c>
      <c r="T76" s="178" t="str">
        <f>IF(ISERROR(S76/Q76),"-",S76/Q76)</f>
        <v>-</v>
      </c>
      <c r="U76" s="206"/>
      <c r="V76" s="177">
        <f t="shared" ref="V76:AC76" si="29">SUM(V42:V73)</f>
        <v>700909.49</v>
      </c>
      <c r="W76" s="177">
        <f t="shared" si="29"/>
        <v>671349</v>
      </c>
      <c r="X76" s="177">
        <f t="shared" si="29"/>
        <v>29560.490000000005</v>
      </c>
      <c r="Y76" s="177">
        <f t="shared" si="29"/>
        <v>2.4625654006043027</v>
      </c>
      <c r="Z76" s="177">
        <f t="shared" si="29"/>
        <v>0</v>
      </c>
      <c r="AA76" s="177">
        <f t="shared" si="29"/>
        <v>1417820.49</v>
      </c>
      <c r="AB76" s="177">
        <f t="shared" si="29"/>
        <v>746471.49</v>
      </c>
      <c r="AC76" s="177">
        <f t="shared" si="29"/>
        <v>8.5390284793285787</v>
      </c>
      <c r="AD76" s="164"/>
      <c r="AE76" s="80"/>
    </row>
    <row r="77" spans="1:32" ht="15.75" x14ac:dyDescent="0.25">
      <c r="A77" s="154"/>
      <c r="B77" s="294"/>
      <c r="C77" s="295"/>
      <c r="D77" s="295"/>
      <c r="E77" s="296"/>
      <c r="F77" s="297"/>
      <c r="G77" s="294"/>
      <c r="H77" s="295"/>
      <c r="I77" s="136"/>
      <c r="J77" s="229"/>
      <c r="K77" s="203"/>
      <c r="L77" s="191"/>
      <c r="M77" s="91"/>
      <c r="N77" s="91"/>
      <c r="O77" s="192"/>
      <c r="P77" s="203"/>
      <c r="Q77" s="228"/>
      <c r="R77" s="136"/>
      <c r="S77" s="136"/>
      <c r="T77" s="238"/>
      <c r="U77" s="203"/>
      <c r="V77" s="241"/>
      <c r="W77" s="92"/>
      <c r="X77" s="91"/>
      <c r="Y77" s="192"/>
      <c r="Z77" s="203"/>
      <c r="AA77" s="241"/>
      <c r="AB77" s="91"/>
      <c r="AC77" s="192"/>
      <c r="AD77" s="161"/>
      <c r="AE77" s="77"/>
    </row>
    <row r="78" spans="1:32" ht="15.75" x14ac:dyDescent="0.25">
      <c r="A78" s="146" t="s">
        <v>80</v>
      </c>
      <c r="B78" s="290">
        <f>B40+B76+B77</f>
        <v>1183432.49</v>
      </c>
      <c r="C78" s="291">
        <f>C40+C76+C77</f>
        <v>942976</v>
      </c>
      <c r="D78" s="291">
        <f>D40+D76+D77</f>
        <v>240456.49</v>
      </c>
      <c r="E78" s="292">
        <f>IF(ISERROR(D78/B78),"-",D78/B78)</f>
        <v>0.20318564179355933</v>
      </c>
      <c r="F78" s="282"/>
      <c r="G78" s="290">
        <f>G40+G76+G77</f>
        <v>858294</v>
      </c>
      <c r="H78" s="291">
        <f>H40+H76+H77</f>
        <v>903901</v>
      </c>
      <c r="I78" s="110">
        <f>I40+I76+I77</f>
        <v>-45607</v>
      </c>
      <c r="J78" s="178">
        <f>IF(ISERROR(I78/G78),"-",I78/G78)</f>
        <v>-5.3136803938976622E-2</v>
      </c>
      <c r="K78" s="207"/>
      <c r="L78" s="177">
        <f>L40+L76+L77</f>
        <v>0</v>
      </c>
      <c r="M78" s="110">
        <f>M40+M76+M77</f>
        <v>0</v>
      </c>
      <c r="N78" s="110">
        <f>N40+N76+N77</f>
        <v>0</v>
      </c>
      <c r="O78" s="178" t="str">
        <f>IF(ISERROR(N78/L78),"-",N78/L78)</f>
        <v>-</v>
      </c>
      <c r="P78" s="207"/>
      <c r="Q78" s="177">
        <f>Q40+Q76+Q77</f>
        <v>0</v>
      </c>
      <c r="R78" s="110">
        <f>R40+R76+R77</f>
        <v>0</v>
      </c>
      <c r="S78" s="110">
        <f>S40+S76+S77</f>
        <v>0</v>
      </c>
      <c r="T78" s="178" t="str">
        <f>IF(ISERROR(S78/Q78),"-",S78/Q78)</f>
        <v>-</v>
      </c>
      <c r="U78" s="207"/>
      <c r="V78" s="177">
        <f>V40+V76+V77</f>
        <v>2041726.49</v>
      </c>
      <c r="W78" s="110">
        <f>W40+W76+W77</f>
        <v>1846877</v>
      </c>
      <c r="X78" s="110">
        <f>X40+X76+X77</f>
        <v>194849.49</v>
      </c>
      <c r="Y78" s="178">
        <f>IF(ISERROR(X78/V78),"-",X78/V78)</f>
        <v>9.5433688574026385E-2</v>
      </c>
      <c r="Z78" s="207"/>
      <c r="AA78" s="177">
        <f>AA40+AA76+AA77</f>
        <v>3760520.49</v>
      </c>
      <c r="AB78" s="110">
        <f>AB40+AB76+AB77</f>
        <v>1913643.49</v>
      </c>
      <c r="AC78" s="178">
        <f>IF(ISERROR(AB78/AA78),"-",AB78/AA78)</f>
        <v>0.50887729373866541</v>
      </c>
      <c r="AD78" s="165"/>
      <c r="AE78" s="80"/>
    </row>
    <row r="79" spans="1:32" ht="15.75" x14ac:dyDescent="0.25">
      <c r="A79" s="155"/>
      <c r="B79" s="294"/>
      <c r="C79" s="295"/>
      <c r="D79" s="295"/>
      <c r="E79" s="296"/>
      <c r="F79" s="297"/>
      <c r="G79" s="294"/>
      <c r="H79" s="295"/>
      <c r="I79" s="136"/>
      <c r="J79" s="229"/>
      <c r="K79" s="203"/>
      <c r="L79" s="191"/>
      <c r="M79" s="91"/>
      <c r="N79" s="91"/>
      <c r="O79" s="192"/>
      <c r="P79" s="203"/>
      <c r="Q79" s="228"/>
      <c r="R79" s="136"/>
      <c r="S79" s="136"/>
      <c r="T79" s="229"/>
      <c r="U79" s="203"/>
      <c r="V79" s="241"/>
      <c r="W79" s="92"/>
      <c r="X79" s="91"/>
      <c r="Y79" s="192"/>
      <c r="Z79" s="203"/>
      <c r="AA79" s="241"/>
      <c r="AB79" s="91"/>
      <c r="AC79" s="192"/>
      <c r="AD79" s="161"/>
      <c r="AE79" s="77"/>
    </row>
    <row r="80" spans="1:32" ht="15.75" x14ac:dyDescent="0.25">
      <c r="A80" s="146" t="s">
        <v>81</v>
      </c>
      <c r="B80" s="290">
        <f>B27-B78</f>
        <v>-70022.489999999991</v>
      </c>
      <c r="C80" s="291">
        <f>C27-C78</f>
        <v>-53791</v>
      </c>
      <c r="D80" s="291">
        <f>D27+D78</f>
        <v>16231.489999999991</v>
      </c>
      <c r="E80" s="292">
        <f>IF(ISERROR(D80/B80),"-",D80/B80)</f>
        <v>-0.23180395327272699</v>
      </c>
      <c r="F80" s="282"/>
      <c r="G80" s="290">
        <f>G27-G78</f>
        <v>148728</v>
      </c>
      <c r="H80" s="291">
        <f>H27-H78</f>
        <v>306486</v>
      </c>
      <c r="I80" s="110">
        <f>I27+I78</f>
        <v>157758</v>
      </c>
      <c r="J80" s="178">
        <f>IF(ISERROR(I80/G80),"-",I80/G80)</f>
        <v>1.0607148620300144</v>
      </c>
      <c r="K80" s="207"/>
      <c r="L80" s="177">
        <f>L27-L78</f>
        <v>0</v>
      </c>
      <c r="M80" s="110">
        <f>M27-M78</f>
        <v>0</v>
      </c>
      <c r="N80" s="110">
        <f>N27+N78</f>
        <v>0</v>
      </c>
      <c r="O80" s="178" t="str">
        <f>IF(ISERROR(N80/L80),"-",N80/L80)</f>
        <v>-</v>
      </c>
      <c r="P80" s="207"/>
      <c r="Q80" s="177">
        <f>Q27-Q78</f>
        <v>0</v>
      </c>
      <c r="R80" s="110">
        <f>R27-R78</f>
        <v>0</v>
      </c>
      <c r="S80" s="110">
        <f>S27+S78</f>
        <v>0</v>
      </c>
      <c r="T80" s="178" t="str">
        <f>IF(ISERROR(S80/Q80),"-",S80/Q80)</f>
        <v>-</v>
      </c>
      <c r="U80" s="207"/>
      <c r="V80" s="242">
        <f>V27-V78</f>
        <v>78705.510000000009</v>
      </c>
      <c r="W80" s="109">
        <f>W27-W78</f>
        <v>252695</v>
      </c>
      <c r="X80" s="109">
        <f>X27+X78</f>
        <v>173989.49</v>
      </c>
      <c r="Y80" s="243">
        <f>IF(ISERROR(X80/V80),"-",X80/V80)</f>
        <v>2.2106392551169538</v>
      </c>
      <c r="Z80" s="207"/>
      <c r="AA80" s="177">
        <f>AA27-AA78</f>
        <v>-149584.49000000022</v>
      </c>
      <c r="AB80" s="110">
        <f>AB27-AB78</f>
        <v>-402279.49</v>
      </c>
      <c r="AC80" s="178">
        <f>IF(ISERROR(AB80/AA80),"-",AB80/AA80)</f>
        <v>2.689312842527988</v>
      </c>
      <c r="AD80" s="165"/>
      <c r="AE80" s="80"/>
    </row>
    <row r="81" spans="1:31" ht="15.75" x14ac:dyDescent="0.25">
      <c r="A81" s="156"/>
      <c r="B81" s="298"/>
      <c r="C81" s="299"/>
      <c r="D81" s="300"/>
      <c r="E81" s="301"/>
      <c r="F81" s="302"/>
      <c r="G81" s="298"/>
      <c r="H81" s="299"/>
      <c r="I81" s="138"/>
      <c r="J81" s="231"/>
      <c r="K81" s="111"/>
      <c r="L81" s="193"/>
      <c r="M81" s="93"/>
      <c r="N81" s="94"/>
      <c r="O81" s="194"/>
      <c r="P81" s="111"/>
      <c r="Q81" s="230"/>
      <c r="R81" s="137"/>
      <c r="S81" s="138"/>
      <c r="T81" s="231"/>
      <c r="U81" s="111"/>
      <c r="V81" s="179"/>
      <c r="W81" s="81"/>
      <c r="X81" s="94"/>
      <c r="Y81" s="194"/>
      <c r="Z81" s="111"/>
      <c r="AA81" s="179"/>
      <c r="AB81" s="94"/>
      <c r="AC81" s="194"/>
      <c r="AD81" s="166"/>
      <c r="AE81" s="77"/>
    </row>
    <row r="82" spans="1:31" ht="15.75" x14ac:dyDescent="0.25">
      <c r="A82" s="148" t="s">
        <v>82</v>
      </c>
      <c r="B82" s="181"/>
      <c r="C82" s="76"/>
      <c r="D82" s="76">
        <f>B82-C82</f>
        <v>0</v>
      </c>
      <c r="E82" s="176" t="str">
        <f>IF(ISERROR(D82/B82),"-",D82/B82)</f>
        <v>-</v>
      </c>
      <c r="F82" s="207"/>
      <c r="G82" s="213"/>
      <c r="H82" s="130"/>
      <c r="I82" s="130">
        <f>G82-H82</f>
        <v>0</v>
      </c>
      <c r="J82" s="214" t="str">
        <f>IF(ISERROR(I82/G82),"-",I82/G82)</f>
        <v>-</v>
      </c>
      <c r="K82" s="207"/>
      <c r="L82" s="181"/>
      <c r="M82" s="76"/>
      <c r="N82" s="76">
        <f>L82-M82</f>
        <v>0</v>
      </c>
      <c r="O82" s="176" t="str">
        <f>IF(ISERROR(N82/L82),"-",N82/L82)</f>
        <v>-</v>
      </c>
      <c r="P82" s="207"/>
      <c r="Q82" s="213"/>
      <c r="R82" s="130"/>
      <c r="S82" s="130">
        <f>Q82-R82</f>
        <v>0</v>
      </c>
      <c r="T82" s="214" t="str">
        <f>IF(ISERROR(S82/Q82),"-",S82/Q82)</f>
        <v>-</v>
      </c>
      <c r="U82" s="207"/>
      <c r="V82" s="181">
        <f>B82+G82+L82+Q82</f>
        <v>0</v>
      </c>
      <c r="W82" s="76">
        <f>C82+H82+M82+R82</f>
        <v>0</v>
      </c>
      <c r="X82" s="76">
        <f>V82-W82</f>
        <v>0</v>
      </c>
      <c r="Y82" s="176" t="str">
        <f>IF(ISERROR(X82/V82),"-",X82/V82)</f>
        <v>-</v>
      </c>
      <c r="Z82" s="207"/>
      <c r="AA82" s="181">
        <f>G82+L82+Q82+V82</f>
        <v>0</v>
      </c>
      <c r="AB82" s="76">
        <f>AA82-W82</f>
        <v>0</v>
      </c>
      <c r="AC82" s="176" t="str">
        <f>IF(ISERROR(AB82/AA82),"-",AB82/AA82)</f>
        <v>-</v>
      </c>
      <c r="AD82" s="165"/>
      <c r="AE82" s="77"/>
    </row>
    <row r="83" spans="1:31" ht="15.75" x14ac:dyDescent="0.25">
      <c r="A83" s="149"/>
      <c r="B83" s="195"/>
      <c r="C83" s="95"/>
      <c r="D83" s="95"/>
      <c r="E83" s="196"/>
      <c r="F83" s="111"/>
      <c r="G83" s="232"/>
      <c r="H83" s="139"/>
      <c r="I83" s="139"/>
      <c r="J83" s="233"/>
      <c r="K83" s="111"/>
      <c r="L83" s="195"/>
      <c r="M83" s="95"/>
      <c r="N83" s="95"/>
      <c r="O83" s="196"/>
      <c r="P83" s="111"/>
      <c r="Q83" s="232"/>
      <c r="R83" s="139"/>
      <c r="S83" s="139"/>
      <c r="T83" s="233"/>
      <c r="U83" s="111"/>
      <c r="V83" s="195"/>
      <c r="W83" s="95"/>
      <c r="X83" s="95"/>
      <c r="Y83" s="196"/>
      <c r="Z83" s="111"/>
      <c r="AA83" s="195"/>
      <c r="AB83" s="95"/>
      <c r="AC83" s="196"/>
      <c r="AD83" s="166"/>
      <c r="AE83" s="77"/>
    </row>
    <row r="84" spans="1:31" ht="16.5" thickBot="1" x14ac:dyDescent="0.3">
      <c r="A84" s="157" t="s">
        <v>83</v>
      </c>
      <c r="B84" s="197">
        <f>B80-B82</f>
        <v>-70022.489999999991</v>
      </c>
      <c r="C84" s="198">
        <f>C80-C82</f>
        <v>-53791</v>
      </c>
      <c r="D84" s="198">
        <f>D80+D82</f>
        <v>16231.489999999991</v>
      </c>
      <c r="E84" s="199">
        <f>IF(ISERROR(D84/B84),"-",D84/B84)</f>
        <v>-0.23180395327272699</v>
      </c>
      <c r="F84" s="208"/>
      <c r="G84" s="197">
        <f>G80-G82</f>
        <v>148728</v>
      </c>
      <c r="H84" s="198">
        <f>H80-H82</f>
        <v>306486</v>
      </c>
      <c r="I84" s="198">
        <f>I80+I82</f>
        <v>157758</v>
      </c>
      <c r="J84" s="199">
        <f>IF(ISERROR(I84/G84),"-",I84/G84)</f>
        <v>1.0607148620300144</v>
      </c>
      <c r="K84" s="208"/>
      <c r="L84" s="197">
        <f>L80-L82</f>
        <v>0</v>
      </c>
      <c r="M84" s="198">
        <f>M80-M82</f>
        <v>0</v>
      </c>
      <c r="N84" s="198">
        <f>N80+N82</f>
        <v>0</v>
      </c>
      <c r="O84" s="199" t="str">
        <f>IF(ISERROR(N84/L84),"-",N84/L84)</f>
        <v>-</v>
      </c>
      <c r="P84" s="208"/>
      <c r="Q84" s="197">
        <f>Q80-Q82</f>
        <v>0</v>
      </c>
      <c r="R84" s="198">
        <f>R80-R82</f>
        <v>0</v>
      </c>
      <c r="S84" s="198">
        <f>S80+S82</f>
        <v>0</v>
      </c>
      <c r="T84" s="199" t="str">
        <f>IF(ISERROR(S84/Q84),"-",S84/Q84)</f>
        <v>-</v>
      </c>
      <c r="U84" s="208"/>
      <c r="V84" s="244">
        <f>V80-V82</f>
        <v>78705.510000000009</v>
      </c>
      <c r="W84" s="245">
        <f>W80-W82</f>
        <v>252695</v>
      </c>
      <c r="X84" s="245">
        <f>X80+X82</f>
        <v>173989.49</v>
      </c>
      <c r="Y84" s="246">
        <f>IF(ISERROR(X84/V84),"-",X84/V84)</f>
        <v>2.2106392551169538</v>
      </c>
      <c r="Z84" s="208"/>
      <c r="AA84" s="244">
        <f>AA80-AA82</f>
        <v>-149584.49000000022</v>
      </c>
      <c r="AB84" s="245">
        <f>AA84-W84</f>
        <v>-402279.49000000022</v>
      </c>
      <c r="AC84" s="246">
        <f>IF(ISERROR(AB84/AA84),"-",AB84/AA84)</f>
        <v>2.6893128425279893</v>
      </c>
      <c r="AD84" s="167"/>
      <c r="AE84" s="96"/>
    </row>
  </sheetData>
  <mergeCells count="19">
    <mergeCell ref="Q9:T9"/>
    <mergeCell ref="V9:Y9"/>
    <mergeCell ref="AA9:AC9"/>
    <mergeCell ref="AE9:AE11"/>
    <mergeCell ref="D10:E10"/>
    <mergeCell ref="I10:J10"/>
    <mergeCell ref="N10:O10"/>
    <mergeCell ref="S10:T10"/>
    <mergeCell ref="X10:Y10"/>
    <mergeCell ref="AB10:AC10"/>
    <mergeCell ref="B9:E9"/>
    <mergeCell ref="G9:J9"/>
    <mergeCell ref="L9:O9"/>
    <mergeCell ref="A7:H7"/>
    <mergeCell ref="A1:H1"/>
    <mergeCell ref="A3:H3"/>
    <mergeCell ref="A4:H4"/>
    <mergeCell ref="A5:H5"/>
    <mergeCell ref="A6:H6"/>
  </mergeCells>
  <conditionalFormatting sqref="E53">
    <cfRule type="cellIs" dxfId="3" priority="1" stopIfTrue="1" operator="equal">
      <formula>""""""</formula>
    </cfRule>
  </conditionalFormatting>
  <pageMargins left="0.7" right="0.7" top="0.75" bottom="0.75" header="0.3" footer="0.3"/>
  <pageSetup paperSize="3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W72"/>
  <sheetViews>
    <sheetView topLeftCell="A39" zoomScale="80" zoomScaleNormal="80" workbookViewId="0">
      <selection activeCell="D72" sqref="D72"/>
    </sheetView>
  </sheetViews>
  <sheetFormatPr defaultColWidth="8.85546875" defaultRowHeight="15.75" customHeight="1" x14ac:dyDescent="0.25"/>
  <cols>
    <col min="1" max="1" width="64.42578125" style="8" customWidth="1"/>
    <col min="2" max="2" width="16.42578125" style="8" customWidth="1"/>
    <col min="3" max="3" width="16.85546875" style="8" customWidth="1"/>
    <col min="4" max="4" width="18.140625" style="8" customWidth="1"/>
    <col min="5" max="5" width="17" style="8" customWidth="1"/>
    <col min="6" max="6" width="17.42578125" style="8" customWidth="1"/>
    <col min="7" max="231" width="8.85546875" style="8" customWidth="1"/>
    <col min="232" max="16384" width="8.85546875" style="2"/>
  </cols>
  <sheetData>
    <row r="1" spans="1:231" ht="18.75" customHeight="1" x14ac:dyDescent="0.25">
      <c r="A1" s="862" t="s">
        <v>0</v>
      </c>
      <c r="B1" s="879"/>
      <c r="C1" s="879"/>
      <c r="D1" s="879"/>
      <c r="E1" s="879"/>
      <c r="F1" s="879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</row>
    <row r="2" spans="1:231" ht="18.75" customHeight="1" x14ac:dyDescent="0.25">
      <c r="A2" s="3"/>
      <c r="B2" s="4"/>
      <c r="C2" s="4"/>
      <c r="D2" s="4"/>
      <c r="E2" s="4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</row>
    <row r="3" spans="1:231" s="9" customFormat="1" ht="18.75" customHeight="1" x14ac:dyDescent="0.3">
      <c r="A3" s="858" t="s">
        <v>196</v>
      </c>
      <c r="B3" s="859"/>
      <c r="C3" s="859"/>
      <c r="D3" s="859"/>
      <c r="E3" s="859"/>
      <c r="F3" s="859"/>
    </row>
    <row r="4" spans="1:231" ht="18.75" customHeight="1" x14ac:dyDescent="0.3">
      <c r="A4" s="880" t="s">
        <v>84</v>
      </c>
      <c r="B4" s="860"/>
      <c r="C4" s="860"/>
      <c r="D4" s="860"/>
      <c r="E4" s="860"/>
      <c r="F4" s="86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</row>
    <row r="5" spans="1:231" ht="18.75" customHeight="1" x14ac:dyDescent="0.3">
      <c r="A5" s="880" t="s">
        <v>85</v>
      </c>
      <c r="B5" s="881"/>
      <c r="C5" s="881"/>
      <c r="D5" s="881"/>
      <c r="E5" s="881"/>
      <c r="F5" s="88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</row>
    <row r="6" spans="1:231" ht="18.75" customHeight="1" x14ac:dyDescent="0.3">
      <c r="A6" s="858" t="s">
        <v>87</v>
      </c>
      <c r="B6" s="882"/>
      <c r="C6" s="882"/>
      <c r="D6" s="882"/>
      <c r="E6" s="882"/>
      <c r="F6" s="88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</row>
    <row r="7" spans="1:231" ht="18.75" customHeight="1" x14ac:dyDescent="0.3">
      <c r="A7" s="858" t="s">
        <v>5</v>
      </c>
      <c r="B7" s="859"/>
      <c r="C7" s="859"/>
      <c r="D7" s="859"/>
      <c r="E7" s="859"/>
      <c r="F7" s="859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</row>
    <row r="8" spans="1:231" ht="16.5" customHeight="1" thickBot="1" x14ac:dyDescent="0.3">
      <c r="A8" s="6"/>
      <c r="B8" s="34"/>
      <c r="C8" s="7"/>
      <c r="D8" s="34"/>
      <c r="E8" s="7"/>
      <c r="F8" s="3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</row>
    <row r="9" spans="1:231" ht="17.45" customHeight="1" x14ac:dyDescent="0.25">
      <c r="A9" s="17"/>
      <c r="B9" s="35" t="s">
        <v>162</v>
      </c>
      <c r="C9" s="49" t="s">
        <v>163</v>
      </c>
      <c r="D9" s="35" t="s">
        <v>98</v>
      </c>
      <c r="E9" s="49" t="s">
        <v>164</v>
      </c>
      <c r="F9" s="35" t="s">
        <v>165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</row>
    <row r="10" spans="1:231" ht="15" customHeight="1" x14ac:dyDescent="0.25">
      <c r="A10" s="18"/>
      <c r="B10" s="36">
        <v>43831</v>
      </c>
      <c r="C10" s="50">
        <v>43921</v>
      </c>
      <c r="D10" s="36">
        <v>44012</v>
      </c>
      <c r="E10" s="50">
        <v>44104</v>
      </c>
      <c r="F10" s="61">
        <v>44196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</row>
    <row r="11" spans="1:231" ht="15" customHeight="1" thickBot="1" x14ac:dyDescent="0.3">
      <c r="A11" s="19"/>
      <c r="B11" s="37" t="s">
        <v>19</v>
      </c>
      <c r="C11" s="51" t="s">
        <v>19</v>
      </c>
      <c r="D11" s="37" t="s">
        <v>19</v>
      </c>
      <c r="E11" s="51" t="s">
        <v>19</v>
      </c>
      <c r="F11" s="37" t="s">
        <v>19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</row>
    <row r="12" spans="1:231" ht="15" customHeight="1" x14ac:dyDescent="0.25">
      <c r="A12" s="20" t="s">
        <v>99</v>
      </c>
      <c r="B12" s="38"/>
      <c r="C12" s="52"/>
      <c r="D12" s="38"/>
      <c r="E12" s="52"/>
      <c r="F12" s="38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</row>
    <row r="13" spans="1:231" ht="15" customHeight="1" x14ac:dyDescent="0.25">
      <c r="A13" s="21" t="s">
        <v>100</v>
      </c>
      <c r="B13" s="39"/>
      <c r="C13" s="12"/>
      <c r="D13" s="39"/>
      <c r="E13" s="12"/>
      <c r="F13" s="39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</row>
    <row r="14" spans="1:231" ht="15" customHeight="1" x14ac:dyDescent="0.25">
      <c r="A14" s="10" t="s">
        <v>101</v>
      </c>
      <c r="B14" s="39">
        <v>803069</v>
      </c>
      <c r="C14" s="39">
        <v>583150</v>
      </c>
      <c r="D14" s="39">
        <v>804843</v>
      </c>
      <c r="E14" s="12">
        <v>0</v>
      </c>
      <c r="F14" s="39"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</row>
    <row r="15" spans="1:231" ht="15" customHeight="1" x14ac:dyDescent="0.25">
      <c r="A15" s="11" t="s">
        <v>102</v>
      </c>
      <c r="B15" s="39">
        <v>104294</v>
      </c>
      <c r="C15" s="39">
        <v>165810</v>
      </c>
      <c r="D15" s="39">
        <v>190566</v>
      </c>
      <c r="E15" s="12">
        <v>0</v>
      </c>
      <c r="F15" s="39"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</row>
    <row r="16" spans="1:231" ht="15" customHeight="1" x14ac:dyDescent="0.25">
      <c r="A16" s="11" t="s">
        <v>103</v>
      </c>
      <c r="B16" s="39">
        <v>84648</v>
      </c>
      <c r="C16" s="39">
        <v>0</v>
      </c>
      <c r="D16" s="39">
        <v>0</v>
      </c>
      <c r="E16" s="12">
        <v>0</v>
      </c>
      <c r="F16" s="39"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</row>
    <row r="17" spans="1:231" ht="15" customHeight="1" x14ac:dyDescent="0.25">
      <c r="A17" s="11" t="s">
        <v>104</v>
      </c>
      <c r="B17" s="39">
        <v>0</v>
      </c>
      <c r="C17" s="39">
        <v>0</v>
      </c>
      <c r="D17" s="39">
        <v>0</v>
      </c>
      <c r="E17" s="12">
        <v>0</v>
      </c>
      <c r="F17" s="39"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</row>
    <row r="18" spans="1:231" ht="15" customHeight="1" x14ac:dyDescent="0.25">
      <c r="A18" s="11" t="s">
        <v>105</v>
      </c>
      <c r="B18" s="39">
        <v>0</v>
      </c>
      <c r="C18" s="39">
        <v>0</v>
      </c>
      <c r="D18" s="39">
        <v>0</v>
      </c>
      <c r="E18" s="12">
        <v>0</v>
      </c>
      <c r="F18" s="39"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</row>
    <row r="19" spans="1:231" ht="15" customHeight="1" x14ac:dyDescent="0.25">
      <c r="A19" s="22" t="s">
        <v>106</v>
      </c>
      <c r="B19" s="40">
        <v>0</v>
      </c>
      <c r="C19" s="40">
        <v>0</v>
      </c>
      <c r="D19" s="40">
        <v>0</v>
      </c>
      <c r="E19" s="53">
        <v>0</v>
      </c>
      <c r="F19" s="40"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</row>
    <row r="20" spans="1:231" ht="15" customHeight="1" x14ac:dyDescent="0.25">
      <c r="A20" s="23" t="s">
        <v>107</v>
      </c>
      <c r="B20" s="41">
        <f>SUM(B14:B19)</f>
        <v>992011</v>
      </c>
      <c r="C20" s="41">
        <f>SUM(C14:C19)</f>
        <v>748960</v>
      </c>
      <c r="D20" s="41">
        <f>SUM(D14:D19)</f>
        <v>995409</v>
      </c>
      <c r="E20" s="54">
        <f>SUM(E14:E19)</f>
        <v>0</v>
      </c>
      <c r="F20" s="41">
        <f>SUM(F14:F19)</f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</row>
    <row r="21" spans="1:231" ht="15" customHeight="1" x14ac:dyDescent="0.25">
      <c r="A21" s="24"/>
      <c r="B21" s="42"/>
      <c r="C21" s="42"/>
      <c r="D21" s="42"/>
      <c r="E21" s="55"/>
      <c r="F21" s="4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</row>
    <row r="22" spans="1:231" ht="15" customHeight="1" x14ac:dyDescent="0.25">
      <c r="A22" s="25" t="s">
        <v>108</v>
      </c>
      <c r="B22" s="39"/>
      <c r="C22" s="39"/>
      <c r="D22" s="39"/>
      <c r="E22" s="12"/>
      <c r="F22" s="39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</row>
    <row r="23" spans="1:231" ht="15" customHeight="1" x14ac:dyDescent="0.25">
      <c r="A23" s="11" t="s">
        <v>109</v>
      </c>
      <c r="B23" s="39">
        <v>0</v>
      </c>
      <c r="C23" s="39">
        <v>0</v>
      </c>
      <c r="D23" s="39">
        <v>0</v>
      </c>
      <c r="E23" s="12">
        <v>0</v>
      </c>
      <c r="F23" s="39">
        <v>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</row>
    <row r="24" spans="1:231" ht="15" customHeight="1" x14ac:dyDescent="0.25">
      <c r="A24" s="11" t="s">
        <v>110</v>
      </c>
      <c r="B24" s="39">
        <v>0</v>
      </c>
      <c r="C24" s="39">
        <v>0</v>
      </c>
      <c r="D24" s="39">
        <v>0</v>
      </c>
      <c r="E24" s="12">
        <v>0</v>
      </c>
      <c r="F24" s="39">
        <v>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</row>
    <row r="25" spans="1:231" ht="15" customHeight="1" x14ac:dyDescent="0.25">
      <c r="A25" s="11" t="s">
        <v>111</v>
      </c>
      <c r="B25" s="39">
        <v>0</v>
      </c>
      <c r="C25" s="39">
        <v>0</v>
      </c>
      <c r="D25" s="39">
        <v>0</v>
      </c>
      <c r="E25" s="12">
        <v>0</v>
      </c>
      <c r="F25" s="39"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</row>
    <row r="26" spans="1:231" ht="15" customHeight="1" x14ac:dyDescent="0.25">
      <c r="A26" s="11" t="s">
        <v>112</v>
      </c>
      <c r="B26" s="39">
        <v>335397</v>
      </c>
      <c r="C26" s="39">
        <v>335397</v>
      </c>
      <c r="D26" s="39">
        <v>339857</v>
      </c>
      <c r="E26" s="12">
        <v>0</v>
      </c>
      <c r="F26" s="39">
        <v>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</row>
    <row r="27" spans="1:231" ht="15" customHeight="1" x14ac:dyDescent="0.25">
      <c r="A27" s="11" t="s">
        <v>197</v>
      </c>
      <c r="B27" s="39"/>
      <c r="C27" s="39"/>
      <c r="D27" s="39"/>
      <c r="E27" s="12"/>
      <c r="F27" s="39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</row>
    <row r="28" spans="1:231" ht="15" customHeight="1" x14ac:dyDescent="0.25">
      <c r="A28" s="11" t="s">
        <v>114</v>
      </c>
      <c r="B28" s="39"/>
      <c r="C28" s="39"/>
      <c r="D28" s="39"/>
      <c r="E28" s="12"/>
      <c r="F28" s="39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</row>
    <row r="29" spans="1:231" ht="15" customHeight="1" x14ac:dyDescent="0.25">
      <c r="A29" s="22" t="s">
        <v>115</v>
      </c>
      <c r="B29" s="40">
        <v>149563</v>
      </c>
      <c r="C29" s="40">
        <v>115676</v>
      </c>
      <c r="D29" s="40">
        <v>115676</v>
      </c>
      <c r="E29" s="53">
        <v>0</v>
      </c>
      <c r="F29" s="40"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</row>
    <row r="30" spans="1:231" ht="15" customHeight="1" x14ac:dyDescent="0.25">
      <c r="A30" s="23" t="s">
        <v>116</v>
      </c>
      <c r="B30" s="41">
        <f>SUM(B23:B29)</f>
        <v>484960</v>
      </c>
      <c r="C30" s="41">
        <f>SUM(C23:C29)</f>
        <v>451073</v>
      </c>
      <c r="D30" s="41">
        <f>SUM(D23:D29)</f>
        <v>455533</v>
      </c>
      <c r="E30" s="54">
        <f>SUM(E23:E29)</f>
        <v>0</v>
      </c>
      <c r="F30" s="41">
        <f>SUM(F23:F29)</f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</row>
    <row r="31" spans="1:231" ht="15" customHeight="1" x14ac:dyDescent="0.25">
      <c r="A31" s="24"/>
      <c r="B31" s="42"/>
      <c r="C31" s="42"/>
      <c r="D31" s="42"/>
      <c r="E31" s="55"/>
      <c r="F31" s="4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</row>
    <row r="32" spans="1:231" ht="15" customHeight="1" x14ac:dyDescent="0.25">
      <c r="A32" s="25" t="s">
        <v>117</v>
      </c>
      <c r="B32" s="43"/>
      <c r="C32" s="43"/>
      <c r="D32" s="43"/>
      <c r="E32" s="15"/>
      <c r="F32" s="4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</row>
    <row r="33" spans="1:231" ht="15" customHeight="1" x14ac:dyDescent="0.25">
      <c r="A33" s="13" t="s">
        <v>118</v>
      </c>
      <c r="B33" s="43">
        <f>916653.79-855900.26+3138742-897455.22</f>
        <v>2302040.3100000005</v>
      </c>
      <c r="C33" s="43">
        <f>911075.77-855900.26+3138742-897455.22</f>
        <v>2296462.29</v>
      </c>
      <c r="D33" s="43">
        <f>905497.76+3138742-855900.26-897455.22</f>
        <v>2290884.2800000003</v>
      </c>
      <c r="E33" s="15">
        <v>0</v>
      </c>
      <c r="F33" s="43"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</row>
    <row r="34" spans="1:231" ht="15" customHeight="1" x14ac:dyDescent="0.25">
      <c r="A34" s="13" t="s">
        <v>119</v>
      </c>
      <c r="B34" s="43">
        <v>3139.25</v>
      </c>
      <c r="C34" s="43">
        <v>2655.03</v>
      </c>
      <c r="D34" s="43">
        <v>2223.36</v>
      </c>
      <c r="E34" s="15">
        <v>0</v>
      </c>
      <c r="F34" s="43">
        <v>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</row>
    <row r="35" spans="1:231" ht="15" customHeight="1" x14ac:dyDescent="0.25">
      <c r="A35" s="13" t="s">
        <v>120</v>
      </c>
      <c r="B35" s="43">
        <v>7124.65</v>
      </c>
      <c r="C35" s="43">
        <v>6669.89</v>
      </c>
      <c r="D35" s="43">
        <v>6215.23</v>
      </c>
      <c r="E35" s="15">
        <v>0</v>
      </c>
      <c r="F35" s="43">
        <v>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</row>
    <row r="36" spans="1:231" ht="15" customHeight="1" x14ac:dyDescent="0.25">
      <c r="A36" s="13" t="s">
        <v>121</v>
      </c>
      <c r="B36" s="43">
        <v>9738.36</v>
      </c>
      <c r="C36" s="43">
        <v>8375.6</v>
      </c>
      <c r="D36" s="43">
        <v>7012.86</v>
      </c>
      <c r="E36" s="15">
        <v>0</v>
      </c>
      <c r="F36" s="43">
        <v>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</row>
    <row r="37" spans="1:231" ht="15" customHeight="1" x14ac:dyDescent="0.25">
      <c r="A37" s="13" t="s">
        <v>122</v>
      </c>
      <c r="B37" s="43">
        <v>36619.14</v>
      </c>
      <c r="C37" s="43">
        <v>33650.03</v>
      </c>
      <c r="D37" s="43">
        <v>30680.91</v>
      </c>
      <c r="E37" s="15">
        <v>0</v>
      </c>
      <c r="F37" s="43"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</row>
    <row r="38" spans="1:231" ht="15" customHeight="1" x14ac:dyDescent="0.25">
      <c r="A38" s="14" t="s">
        <v>169</v>
      </c>
      <c r="B38" s="44">
        <v>2983457.05</v>
      </c>
      <c r="C38" s="44">
        <v>2983457.05</v>
      </c>
      <c r="D38" s="44">
        <f>2800022.18+298753</f>
        <v>3098775.18</v>
      </c>
      <c r="E38" s="56">
        <v>0</v>
      </c>
      <c r="F38" s="44"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</row>
    <row r="39" spans="1:231" ht="15" customHeight="1" x14ac:dyDescent="0.25">
      <c r="A39" s="23" t="s">
        <v>124</v>
      </c>
      <c r="B39" s="41">
        <f>SUM(B32:B38)</f>
        <v>5342118.76</v>
      </c>
      <c r="C39" s="41">
        <f>SUM(C32:C38)</f>
        <v>5331269.8899999997</v>
      </c>
      <c r="D39" s="41">
        <f>SUM(D32:D38)</f>
        <v>5435791.8200000003</v>
      </c>
      <c r="E39" s="54">
        <f>SUM(E32:E38)</f>
        <v>0</v>
      </c>
      <c r="F39" s="41">
        <f>SUM(F32:F38)</f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</row>
    <row r="40" spans="1:231" ht="15" customHeight="1" x14ac:dyDescent="0.25">
      <c r="A40" s="26"/>
      <c r="B40" s="45"/>
      <c r="C40" s="45"/>
      <c r="D40" s="45"/>
      <c r="E40" s="57"/>
      <c r="F40" s="45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</row>
    <row r="41" spans="1:231" ht="15" customHeight="1" x14ac:dyDescent="0.25">
      <c r="A41" s="21" t="s">
        <v>125</v>
      </c>
      <c r="B41" s="39">
        <v>0</v>
      </c>
      <c r="C41" s="39">
        <v>0</v>
      </c>
      <c r="D41" s="39">
        <v>0</v>
      </c>
      <c r="E41" s="12">
        <v>0</v>
      </c>
      <c r="F41" s="39"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</row>
    <row r="42" spans="1:231" ht="15" customHeight="1" x14ac:dyDescent="0.25">
      <c r="A42" s="27"/>
      <c r="B42" s="44"/>
      <c r="C42" s="44"/>
      <c r="D42" s="44"/>
      <c r="E42" s="56"/>
      <c r="F42" s="4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</row>
    <row r="43" spans="1:231" ht="15" customHeight="1" x14ac:dyDescent="0.25">
      <c r="A43" s="23" t="s">
        <v>126</v>
      </c>
      <c r="B43" s="41">
        <f>B20+B30+B39+B41</f>
        <v>6819089.7599999998</v>
      </c>
      <c r="C43" s="41">
        <f>C20+C30+C39+C41</f>
        <v>6531302.8899999997</v>
      </c>
      <c r="D43" s="41">
        <f>D20+D30+D39+D41</f>
        <v>6886733.8200000003</v>
      </c>
      <c r="E43" s="54">
        <f>E20+E30+E39+E41</f>
        <v>0</v>
      </c>
      <c r="F43" s="41">
        <f>F20+F30+F39+F41</f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</row>
    <row r="44" spans="1:231" ht="15" customHeight="1" x14ac:dyDescent="0.25">
      <c r="A44" s="28"/>
      <c r="B44" s="46"/>
      <c r="C44" s="46"/>
      <c r="D44" s="46"/>
      <c r="E44" s="58"/>
      <c r="F44" s="46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</row>
    <row r="45" spans="1:231" ht="15" customHeight="1" x14ac:dyDescent="0.25">
      <c r="A45" s="21" t="s">
        <v>127</v>
      </c>
      <c r="B45" s="43"/>
      <c r="C45" s="43"/>
      <c r="D45" s="43"/>
      <c r="E45" s="15"/>
      <c r="F45" s="4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</row>
    <row r="46" spans="1:231" ht="15" customHeight="1" x14ac:dyDescent="0.25">
      <c r="A46" s="29"/>
      <c r="B46" s="43"/>
      <c r="C46" s="43"/>
      <c r="D46" s="43"/>
      <c r="E46" s="15"/>
      <c r="F46" s="4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</row>
    <row r="47" spans="1:231" ht="15" customHeight="1" x14ac:dyDescent="0.25">
      <c r="A47" s="21" t="s">
        <v>128</v>
      </c>
      <c r="B47" s="39"/>
      <c r="C47" s="39"/>
      <c r="D47" s="39"/>
      <c r="E47" s="12"/>
      <c r="F47" s="39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</row>
    <row r="48" spans="1:231" ht="15" customHeight="1" x14ac:dyDescent="0.25">
      <c r="A48" s="13" t="s">
        <v>129</v>
      </c>
      <c r="B48" s="43">
        <v>260917</v>
      </c>
      <c r="C48" s="43">
        <v>191517</v>
      </c>
      <c r="D48" s="43">
        <v>251556</v>
      </c>
      <c r="E48" s="15">
        <v>0</v>
      </c>
      <c r="F48" s="43">
        <v>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</row>
    <row r="49" spans="1:231" ht="15" customHeight="1" x14ac:dyDescent="0.25">
      <c r="A49" s="16" t="s">
        <v>130</v>
      </c>
      <c r="B49" s="43">
        <v>0</v>
      </c>
      <c r="C49" s="43">
        <v>0</v>
      </c>
      <c r="D49" s="43">
        <v>0</v>
      </c>
      <c r="E49" s="15">
        <v>0</v>
      </c>
      <c r="F49" s="43">
        <v>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</row>
    <row r="50" spans="1:231" ht="15" customHeight="1" x14ac:dyDescent="0.25">
      <c r="A50" s="16" t="s">
        <v>131</v>
      </c>
      <c r="B50" s="43">
        <v>0</v>
      </c>
      <c r="C50" s="43">
        <v>0</v>
      </c>
      <c r="D50" s="43">
        <v>0</v>
      </c>
      <c r="E50" s="15">
        <v>0</v>
      </c>
      <c r="F50" s="43">
        <v>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</row>
    <row r="51" spans="1:231" ht="15" customHeight="1" x14ac:dyDescent="0.25">
      <c r="A51" s="16" t="s">
        <v>132</v>
      </c>
      <c r="B51" s="43">
        <v>0</v>
      </c>
      <c r="C51" s="43">
        <v>0</v>
      </c>
      <c r="D51" s="43">
        <v>0</v>
      </c>
      <c r="E51" s="15">
        <v>0</v>
      </c>
      <c r="F51" s="43">
        <v>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</row>
    <row r="52" spans="1:231" ht="15" customHeight="1" x14ac:dyDescent="0.25">
      <c r="A52" s="16" t="s">
        <v>133</v>
      </c>
      <c r="B52" s="43">
        <v>0</v>
      </c>
      <c r="C52" s="43">
        <v>0</v>
      </c>
      <c r="D52" s="43">
        <v>0</v>
      </c>
      <c r="E52" s="15">
        <v>0</v>
      </c>
      <c r="F52" s="43">
        <v>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</row>
    <row r="53" spans="1:231" ht="15" customHeight="1" x14ac:dyDescent="0.25">
      <c r="A53" s="16" t="s">
        <v>134</v>
      </c>
      <c r="B53" s="43">
        <v>0</v>
      </c>
      <c r="C53" s="43">
        <v>0</v>
      </c>
      <c r="D53" s="43">
        <v>0</v>
      </c>
      <c r="E53" s="15">
        <v>0</v>
      </c>
      <c r="F53" s="43">
        <v>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</row>
    <row r="54" spans="1:231" ht="15" customHeight="1" x14ac:dyDescent="0.25">
      <c r="A54" s="13" t="s">
        <v>135</v>
      </c>
      <c r="B54" s="43">
        <v>0</v>
      </c>
      <c r="C54" s="43">
        <v>0</v>
      </c>
      <c r="D54" s="43">
        <v>0</v>
      </c>
      <c r="E54" s="15">
        <v>0</v>
      </c>
      <c r="F54" s="43">
        <v>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</row>
    <row r="55" spans="1:231" ht="15" customHeight="1" x14ac:dyDescent="0.25">
      <c r="A55" s="13" t="s">
        <v>136</v>
      </c>
      <c r="B55" s="43">
        <v>0</v>
      </c>
      <c r="C55" s="43">
        <v>0</v>
      </c>
      <c r="D55" s="43">
        <v>0</v>
      </c>
      <c r="E55" s="15">
        <v>0</v>
      </c>
      <c r="F55" s="43">
        <v>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</row>
    <row r="56" spans="1:231" ht="15" customHeight="1" x14ac:dyDescent="0.25">
      <c r="A56" s="14" t="s">
        <v>137</v>
      </c>
      <c r="B56" s="44">
        <f>22880+128145</f>
        <v>151025</v>
      </c>
      <c r="C56" s="44">
        <f>41999+26364</f>
        <v>68363</v>
      </c>
      <c r="D56" s="44">
        <f>15855+41999</f>
        <v>57854</v>
      </c>
      <c r="E56" s="56">
        <v>0</v>
      </c>
      <c r="F56" s="44">
        <v>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</row>
    <row r="57" spans="1:231" ht="15" customHeight="1" x14ac:dyDescent="0.25">
      <c r="A57" s="23" t="s">
        <v>138</v>
      </c>
      <c r="B57" s="41">
        <f>SUM(B48:B56)</f>
        <v>411942</v>
      </c>
      <c r="C57" s="41">
        <f>SUM(C48:C56)</f>
        <v>259880</v>
      </c>
      <c r="D57" s="41">
        <f>SUM(D48:D56)</f>
        <v>309410</v>
      </c>
      <c r="E57" s="54">
        <f>SUM(E48:E56)</f>
        <v>0</v>
      </c>
      <c r="F57" s="41">
        <f>SUM(F48:F56)</f>
        <v>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</row>
    <row r="58" spans="1:231" ht="15" customHeight="1" x14ac:dyDescent="0.25">
      <c r="A58" s="30"/>
      <c r="B58" s="42"/>
      <c r="C58" s="42"/>
      <c r="D58" s="42"/>
      <c r="E58" s="55"/>
      <c r="F58" s="4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</row>
    <row r="59" spans="1:231" ht="15" customHeight="1" x14ac:dyDescent="0.25">
      <c r="A59" s="21" t="s">
        <v>139</v>
      </c>
      <c r="B59" s="43"/>
      <c r="C59" s="43"/>
      <c r="D59" s="43"/>
      <c r="E59" s="15"/>
      <c r="F59" s="4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</row>
    <row r="60" spans="1:231" ht="15" customHeight="1" x14ac:dyDescent="0.25">
      <c r="A60" s="13" t="s">
        <v>170</v>
      </c>
      <c r="B60" s="43">
        <v>2300281</v>
      </c>
      <c r="C60" s="43">
        <v>2265714</v>
      </c>
      <c r="D60" s="43">
        <v>2275627</v>
      </c>
      <c r="E60" s="15">
        <v>0</v>
      </c>
      <c r="F60" s="43">
        <v>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</row>
    <row r="61" spans="1:231" ht="15" customHeight="1" x14ac:dyDescent="0.25">
      <c r="A61" s="13" t="s">
        <v>44</v>
      </c>
      <c r="B61" s="43">
        <v>112320</v>
      </c>
      <c r="C61" s="43">
        <v>78433</v>
      </c>
      <c r="D61" s="43">
        <v>78433</v>
      </c>
      <c r="E61" s="15"/>
      <c r="F61" s="4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</row>
    <row r="62" spans="1:231" ht="15" customHeight="1" x14ac:dyDescent="0.25">
      <c r="A62" s="31"/>
      <c r="B62" s="44"/>
      <c r="C62" s="44"/>
      <c r="D62" s="44"/>
      <c r="E62" s="56"/>
      <c r="F62" s="4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</row>
    <row r="63" spans="1:231" ht="15" customHeight="1" x14ac:dyDescent="0.25">
      <c r="A63" s="23" t="s">
        <v>142</v>
      </c>
      <c r="B63" s="41">
        <f>SUM(B60:B62)</f>
        <v>2412601</v>
      </c>
      <c r="C63" s="41">
        <f>SUM(C60:C62)</f>
        <v>2344147</v>
      </c>
      <c r="D63" s="41">
        <f>SUM(D60:D62)</f>
        <v>2354060</v>
      </c>
      <c r="E63" s="54">
        <f>SUM(E60:E62)</f>
        <v>0</v>
      </c>
      <c r="F63" s="41">
        <f>SUM(F60:F62)</f>
        <v>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</row>
    <row r="64" spans="1:231" ht="15" customHeight="1" x14ac:dyDescent="0.25">
      <c r="A64" s="30"/>
      <c r="B64" s="42"/>
      <c r="C64" s="42"/>
      <c r="D64" s="42"/>
      <c r="E64" s="55"/>
      <c r="F64" s="4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</row>
    <row r="65" spans="1:231" ht="15" customHeight="1" x14ac:dyDescent="0.25">
      <c r="A65" s="21" t="s">
        <v>143</v>
      </c>
      <c r="B65" s="43"/>
      <c r="C65" s="43"/>
      <c r="D65" s="43"/>
      <c r="E65" s="15"/>
      <c r="F65" s="4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</row>
    <row r="66" spans="1:231" ht="15" customHeight="1" x14ac:dyDescent="0.25">
      <c r="A66" s="13" t="s">
        <v>144</v>
      </c>
      <c r="B66" s="43">
        <v>4650310</v>
      </c>
      <c r="C66" s="43">
        <v>4650310</v>
      </c>
      <c r="D66" s="43">
        <v>4650310</v>
      </c>
      <c r="E66" s="15">
        <v>0</v>
      </c>
      <c r="F66" s="43">
        <v>0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</row>
    <row r="67" spans="1:231" ht="15" customHeight="1" x14ac:dyDescent="0.25">
      <c r="A67" s="13" t="s">
        <v>145</v>
      </c>
      <c r="B67" s="43">
        <v>0</v>
      </c>
      <c r="C67" s="43">
        <v>0</v>
      </c>
      <c r="D67" s="43">
        <v>0</v>
      </c>
      <c r="E67" s="15">
        <v>0</v>
      </c>
      <c r="F67" s="43">
        <v>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</row>
    <row r="68" spans="1:231" ht="15" customHeight="1" x14ac:dyDescent="0.25">
      <c r="A68" s="13" t="s">
        <v>146</v>
      </c>
      <c r="B68" s="43">
        <v>0</v>
      </c>
      <c r="C68" s="43">
        <v>0</v>
      </c>
      <c r="D68" s="43">
        <v>0</v>
      </c>
      <c r="E68" s="15">
        <v>0</v>
      </c>
      <c r="F68" s="43">
        <v>0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</row>
    <row r="69" spans="1:231" ht="15" customHeight="1" x14ac:dyDescent="0.25">
      <c r="A69" s="14" t="s">
        <v>147</v>
      </c>
      <c r="B69" s="44">
        <f>-1004097+348334</f>
        <v>-655763</v>
      </c>
      <c r="C69" s="44">
        <f>-669244-53790</f>
        <v>-723034</v>
      </c>
      <c r="D69" s="44">
        <f>306486-733532</f>
        <v>-427046</v>
      </c>
      <c r="E69" s="56">
        <v>0</v>
      </c>
      <c r="F69" s="44">
        <v>0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</row>
    <row r="70" spans="1:231" ht="15" customHeight="1" x14ac:dyDescent="0.25">
      <c r="A70" s="23" t="s">
        <v>148</v>
      </c>
      <c r="B70" s="41">
        <f>SUM(B66:B69)</f>
        <v>3994547</v>
      </c>
      <c r="C70" s="41">
        <f>SUM(C66:C69)</f>
        <v>3927276</v>
      </c>
      <c r="D70" s="41">
        <f>SUM(D66:D69)</f>
        <v>4223264</v>
      </c>
      <c r="E70" s="54">
        <f>SUM(E66:E69)</f>
        <v>0</v>
      </c>
      <c r="F70" s="41">
        <f>SUM(F66:F69)</f>
        <v>0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</row>
    <row r="71" spans="1:231" ht="15.75" customHeight="1" x14ac:dyDescent="0.25">
      <c r="A71" s="32"/>
      <c r="B71" s="47"/>
      <c r="C71" s="47"/>
      <c r="D71" s="47"/>
      <c r="E71" s="59"/>
      <c r="F71" s="47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</row>
    <row r="72" spans="1:231" ht="16.5" customHeight="1" thickBot="1" x14ac:dyDescent="0.3">
      <c r="A72" s="33" t="s">
        <v>149</v>
      </c>
      <c r="B72" s="48">
        <f>B70+B63+B57</f>
        <v>6819090</v>
      </c>
      <c r="C72" s="48">
        <f>C70+C63+C57</f>
        <v>6531303</v>
      </c>
      <c r="D72" s="48">
        <f>D70+D63+D57</f>
        <v>6886734</v>
      </c>
      <c r="E72" s="60">
        <f>E70+E63+E57</f>
        <v>0</v>
      </c>
      <c r="F72" s="48">
        <f>F70+F63+F57</f>
        <v>0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</row>
  </sheetData>
  <mergeCells count="6">
    <mergeCell ref="A7:F7"/>
    <mergeCell ref="A1:F1"/>
    <mergeCell ref="A3:F3"/>
    <mergeCell ref="A4:F4"/>
    <mergeCell ref="A5:F5"/>
    <mergeCell ref="A6:F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85"/>
  <sheetViews>
    <sheetView topLeftCell="A7" zoomScale="80" zoomScaleNormal="80" workbookViewId="0">
      <pane xSplit="1" ySplit="2" topLeftCell="B27" activePane="bottomRight" state="frozen"/>
      <selection pane="topRight" activeCell="B7" sqref="B7"/>
      <selection pane="bottomLeft" activeCell="A8" sqref="A8"/>
      <selection pane="bottomRight" activeCell="V18" sqref="V18"/>
    </sheetView>
  </sheetViews>
  <sheetFormatPr defaultColWidth="9.140625" defaultRowHeight="15" x14ac:dyDescent="0.25"/>
  <cols>
    <col min="1" max="1" width="53.42578125" style="8" customWidth="1"/>
    <col min="2" max="3" width="14.140625" style="8" customWidth="1"/>
    <col min="4" max="4" width="13.140625" style="8" customWidth="1"/>
    <col min="5" max="5" width="7.42578125" style="8" customWidth="1"/>
    <col min="6" max="6" width="1" style="8" customWidth="1"/>
    <col min="7" max="7" width="14.5703125" style="8" customWidth="1"/>
    <col min="8" max="8" width="14.28515625" style="8" customWidth="1"/>
    <col min="9" max="9" width="12.140625" style="8" customWidth="1"/>
    <col min="10" max="10" width="7.85546875" style="8" customWidth="1"/>
    <col min="11" max="11" width="1.140625" style="8" customWidth="1"/>
    <col min="12" max="12" width="14" style="8" hidden="1" customWidth="1"/>
    <col min="13" max="13" width="14.140625" style="8" hidden="1" customWidth="1"/>
    <col min="14" max="14" width="12.85546875" style="8" hidden="1" customWidth="1"/>
    <col min="15" max="15" width="6.85546875" style="8" hidden="1" customWidth="1"/>
    <col min="16" max="16" width="1" style="8" hidden="1" customWidth="1"/>
    <col min="17" max="17" width="13.85546875" style="8" hidden="1" customWidth="1"/>
    <col min="18" max="18" width="13.140625" style="8" hidden="1" customWidth="1"/>
    <col min="19" max="19" width="12.85546875" style="8" hidden="1" customWidth="1"/>
    <col min="20" max="20" width="7.7109375" style="8" hidden="1" customWidth="1"/>
    <col min="21" max="21" width="1.28515625" style="8" hidden="1" customWidth="1"/>
    <col min="22" max="22" width="14.28515625" style="8" customWidth="1"/>
    <col min="23" max="23" width="14.140625" style="8" customWidth="1"/>
    <col min="24" max="24" width="13" style="8" customWidth="1"/>
    <col min="25" max="25" width="14.85546875" style="8" bestFit="1" customWidth="1"/>
    <col min="26" max="26" width="1" style="8" customWidth="1"/>
    <col min="27" max="27" width="16.28515625" style="8" customWidth="1"/>
    <col min="28" max="28" width="13.7109375" style="8" customWidth="1"/>
    <col min="29" max="29" width="7" style="8" customWidth="1"/>
    <col min="30" max="30" width="1" style="8" customWidth="1"/>
    <col min="31" max="31" width="66.42578125" style="8" hidden="1" customWidth="1"/>
  </cols>
  <sheetData>
    <row r="1" spans="1:32" ht="18.75" x14ac:dyDescent="0.25">
      <c r="A1" s="839" t="s">
        <v>0</v>
      </c>
      <c r="B1" s="840"/>
      <c r="C1" s="840"/>
      <c r="D1" s="840"/>
      <c r="E1" s="840"/>
      <c r="F1" s="840"/>
      <c r="G1" s="840"/>
      <c r="H1" s="840"/>
      <c r="I1" s="112"/>
      <c r="J1" s="112"/>
      <c r="K1" s="1"/>
      <c r="L1" s="1"/>
      <c r="M1" s="1"/>
      <c r="N1" s="1"/>
      <c r="O1" s="1"/>
      <c r="P1" s="62"/>
      <c r="Q1" s="112"/>
      <c r="R1" s="113"/>
      <c r="S1" s="114"/>
      <c r="T1" s="113"/>
      <c r="U1" s="62"/>
      <c r="V1" s="62"/>
      <c r="W1" s="62"/>
      <c r="X1" s="62"/>
      <c r="Y1" s="62"/>
      <c r="Z1" s="62"/>
      <c r="AA1" s="62"/>
      <c r="AB1" s="62"/>
      <c r="AC1" s="62"/>
      <c r="AD1" s="62"/>
      <c r="AE1" s="63"/>
    </row>
    <row r="2" spans="1:32" ht="18.75" x14ac:dyDescent="0.25">
      <c r="A2" s="125"/>
      <c r="B2" s="126"/>
      <c r="C2" s="126"/>
      <c r="D2" s="126"/>
      <c r="E2" s="126"/>
      <c r="F2" s="126"/>
      <c r="G2" s="126"/>
      <c r="H2" s="126"/>
      <c r="I2" s="115"/>
      <c r="J2" s="115"/>
      <c r="K2" s="4"/>
      <c r="L2" s="5"/>
      <c r="M2" s="5"/>
      <c r="N2" s="5"/>
      <c r="O2" s="5"/>
      <c r="P2" s="4"/>
      <c r="Q2" s="115"/>
      <c r="R2" s="116"/>
      <c r="S2" s="117"/>
      <c r="T2" s="116"/>
      <c r="U2" s="4"/>
      <c r="V2" s="65"/>
      <c r="W2" s="65"/>
      <c r="X2" s="65"/>
      <c r="Y2" s="65"/>
      <c r="Z2" s="4"/>
      <c r="AA2" s="65"/>
      <c r="AB2" s="65"/>
      <c r="AC2" s="65"/>
      <c r="AD2" s="4"/>
      <c r="AE2" s="66"/>
    </row>
    <row r="3" spans="1:32" s="100" customFormat="1" ht="18.75" x14ac:dyDescent="0.25">
      <c r="A3" s="837" t="s">
        <v>198</v>
      </c>
      <c r="B3" s="838"/>
      <c r="C3" s="838"/>
      <c r="D3" s="838"/>
      <c r="E3" s="838"/>
      <c r="F3" s="838"/>
      <c r="G3" s="838"/>
      <c r="H3" s="838"/>
      <c r="I3" s="118"/>
      <c r="J3" s="118"/>
      <c r="K3" s="97"/>
      <c r="L3" s="97"/>
      <c r="M3" s="97"/>
      <c r="N3" s="97"/>
      <c r="O3" s="97"/>
      <c r="P3" s="98"/>
      <c r="Q3" s="118"/>
      <c r="R3" s="119"/>
      <c r="S3" s="120"/>
      <c r="T3" s="119"/>
      <c r="U3" s="98"/>
      <c r="V3" s="98"/>
      <c r="W3" s="98"/>
      <c r="X3" s="98"/>
      <c r="Y3" s="98"/>
      <c r="Z3" s="98"/>
      <c r="AA3" s="98"/>
      <c r="AB3" s="98"/>
      <c r="AC3" s="98"/>
      <c r="AD3" s="98"/>
      <c r="AE3" s="99"/>
    </row>
    <row r="4" spans="1:32" ht="18.75" x14ac:dyDescent="0.25">
      <c r="A4" s="843" t="s">
        <v>2</v>
      </c>
      <c r="B4" s="844"/>
      <c r="C4" s="844"/>
      <c r="D4" s="844"/>
      <c r="E4" s="844"/>
      <c r="F4" s="844"/>
      <c r="G4" s="844"/>
      <c r="H4" s="844"/>
      <c r="I4" s="127"/>
      <c r="J4" s="127"/>
      <c r="K4" s="67"/>
      <c r="L4" s="67"/>
      <c r="M4" s="67"/>
      <c r="N4" s="67"/>
      <c r="O4" s="67"/>
      <c r="P4" s="65"/>
      <c r="Q4" s="121"/>
      <c r="R4" s="122"/>
      <c r="S4" s="117"/>
      <c r="T4" s="122"/>
      <c r="U4" s="65"/>
      <c r="V4" s="65"/>
      <c r="W4" s="65"/>
      <c r="X4" s="65"/>
      <c r="Y4" s="65"/>
      <c r="Z4" s="65"/>
      <c r="AA4" s="65"/>
      <c r="AB4" s="68"/>
      <c r="AC4" s="65"/>
      <c r="AD4" s="65"/>
      <c r="AE4" s="66"/>
    </row>
    <row r="5" spans="1:32" ht="18.75" x14ac:dyDescent="0.25">
      <c r="A5" s="843" t="s">
        <v>3</v>
      </c>
      <c r="B5" s="845"/>
      <c r="C5" s="845"/>
      <c r="D5" s="845"/>
      <c r="E5" s="845"/>
      <c r="F5" s="845"/>
      <c r="G5" s="845"/>
      <c r="H5" s="845"/>
      <c r="I5" s="115"/>
      <c r="J5" s="115"/>
      <c r="K5" s="67"/>
      <c r="L5" s="67"/>
      <c r="M5" s="67"/>
      <c r="N5" s="67"/>
      <c r="O5" s="67"/>
      <c r="P5" s="65"/>
      <c r="Q5" s="121"/>
      <c r="R5" s="122"/>
      <c r="S5" s="117"/>
      <c r="T5" s="122"/>
      <c r="U5" s="65"/>
      <c r="V5" s="65"/>
      <c r="W5" s="65"/>
      <c r="X5" s="65"/>
      <c r="Y5" s="65"/>
      <c r="Z5" s="65"/>
      <c r="AA5" s="65"/>
      <c r="AB5" s="68"/>
      <c r="AC5" s="65"/>
      <c r="AD5" s="65"/>
      <c r="AE5" s="66"/>
    </row>
    <row r="6" spans="1:32" s="100" customFormat="1" ht="18.75" x14ac:dyDescent="0.25">
      <c r="A6" s="837" t="s">
        <v>4</v>
      </c>
      <c r="B6" s="846"/>
      <c r="C6" s="846"/>
      <c r="D6" s="846"/>
      <c r="E6" s="846"/>
      <c r="F6" s="846"/>
      <c r="G6" s="846"/>
      <c r="H6" s="846"/>
      <c r="I6" s="118"/>
      <c r="J6" s="118"/>
      <c r="K6" s="101"/>
      <c r="L6" s="101"/>
      <c r="M6" s="101"/>
      <c r="N6" s="101"/>
      <c r="O6" s="101"/>
      <c r="P6" s="98"/>
      <c r="Q6" s="123"/>
      <c r="R6" s="124"/>
      <c r="S6" s="120"/>
      <c r="T6" s="124"/>
      <c r="U6" s="98"/>
      <c r="V6" s="98"/>
      <c r="W6" s="98"/>
      <c r="X6" s="98"/>
      <c r="Y6" s="98"/>
      <c r="Z6" s="98"/>
      <c r="AA6" s="102"/>
      <c r="AB6" s="103"/>
      <c r="AC6" s="98"/>
      <c r="AD6" s="98"/>
      <c r="AE6" s="99"/>
    </row>
    <row r="7" spans="1:32" s="100" customFormat="1" ht="18.75" x14ac:dyDescent="0.25">
      <c r="A7" s="831"/>
      <c r="B7" s="832"/>
      <c r="C7" s="832"/>
      <c r="D7" s="832"/>
      <c r="E7" s="832"/>
      <c r="F7" s="832"/>
      <c r="G7" s="832"/>
      <c r="H7" s="832"/>
      <c r="I7" s="118"/>
      <c r="J7" s="118"/>
      <c r="K7" s="101"/>
      <c r="L7" s="101"/>
      <c r="M7" s="101"/>
      <c r="N7" s="101"/>
      <c r="O7" s="101"/>
      <c r="P7" s="98"/>
      <c r="Q7" s="123"/>
      <c r="R7" s="124"/>
      <c r="S7" s="120"/>
      <c r="T7" s="124"/>
      <c r="U7" s="98"/>
      <c r="V7" s="98"/>
      <c r="W7" s="98"/>
      <c r="X7" s="98"/>
      <c r="Y7" s="98"/>
      <c r="Z7" s="98"/>
      <c r="AA7" s="102"/>
      <c r="AB7" s="103"/>
      <c r="AC7" s="98"/>
      <c r="AD7" s="98"/>
      <c r="AE7" s="99"/>
    </row>
    <row r="8" spans="1:32" s="100" customFormat="1" ht="18.75" x14ac:dyDescent="0.25">
      <c r="A8" s="837" t="s">
        <v>199</v>
      </c>
      <c r="B8" s="838"/>
      <c r="C8" s="838"/>
      <c r="D8" s="838"/>
      <c r="E8" s="838"/>
      <c r="F8" s="838"/>
      <c r="G8" s="838"/>
      <c r="H8" s="838"/>
      <c r="I8" s="838"/>
      <c r="J8" s="838"/>
      <c r="K8" s="838"/>
      <c r="L8" s="838"/>
      <c r="M8" s="838"/>
      <c r="N8" s="838"/>
      <c r="O8" s="838"/>
      <c r="P8" s="838"/>
      <c r="Q8" s="838"/>
      <c r="R8" s="838"/>
      <c r="S8" s="838"/>
      <c r="T8" s="838"/>
      <c r="U8" s="838"/>
      <c r="V8" s="838"/>
      <c r="W8" s="838"/>
      <c r="X8" s="838"/>
      <c r="Y8" s="838"/>
      <c r="Z8" s="838"/>
      <c r="AA8" s="838"/>
      <c r="AB8" s="838"/>
      <c r="AC8" s="838"/>
      <c r="AD8" s="838"/>
      <c r="AE8" s="902"/>
      <c r="AF8"/>
    </row>
    <row r="9" spans="1:32" ht="15.75" x14ac:dyDescent="0.25">
      <c r="A9" s="903" t="s">
        <v>200</v>
      </c>
      <c r="B9" s="904"/>
      <c r="C9" s="904"/>
      <c r="D9" s="904"/>
      <c r="E9" s="904"/>
      <c r="F9" s="904"/>
      <c r="G9" s="904"/>
      <c r="H9" s="904"/>
      <c r="I9" s="904"/>
      <c r="J9" s="904"/>
      <c r="K9" s="904"/>
      <c r="L9" s="904"/>
      <c r="M9" s="904"/>
      <c r="N9" s="904"/>
      <c r="O9" s="904"/>
      <c r="P9" s="904"/>
      <c r="Q9" s="904"/>
      <c r="R9" s="904"/>
      <c r="S9" s="904"/>
      <c r="T9" s="904"/>
      <c r="U9" s="904"/>
      <c r="V9" s="904"/>
      <c r="W9" s="904"/>
      <c r="X9" s="904"/>
      <c r="Y9" s="904"/>
      <c r="Z9" s="904"/>
      <c r="AA9" s="904"/>
      <c r="AB9" s="904"/>
      <c r="AC9" s="904"/>
      <c r="AD9" s="904"/>
      <c r="AE9" s="905"/>
    </row>
    <row r="10" spans="1:32" ht="15.75" x14ac:dyDescent="0.25">
      <c r="A10" s="140"/>
      <c r="B10" s="852" t="s">
        <v>6</v>
      </c>
      <c r="C10" s="853"/>
      <c r="D10" s="853"/>
      <c r="E10" s="854"/>
      <c r="F10" s="200"/>
      <c r="G10" s="852" t="s">
        <v>7</v>
      </c>
      <c r="H10" s="853"/>
      <c r="I10" s="853"/>
      <c r="J10" s="854"/>
      <c r="K10" s="200"/>
      <c r="L10" s="855" t="s">
        <v>8</v>
      </c>
      <c r="M10" s="856"/>
      <c r="N10" s="856"/>
      <c r="O10" s="857"/>
      <c r="P10" s="200"/>
      <c r="Q10" s="852" t="s">
        <v>9</v>
      </c>
      <c r="R10" s="853"/>
      <c r="S10" s="853"/>
      <c r="T10" s="854"/>
      <c r="U10" s="200"/>
      <c r="V10" s="855" t="s">
        <v>10</v>
      </c>
      <c r="W10" s="856"/>
      <c r="X10" s="856"/>
      <c r="Y10" s="857"/>
      <c r="Z10" s="200"/>
      <c r="AA10" s="855" t="s">
        <v>11</v>
      </c>
      <c r="AB10" s="856"/>
      <c r="AC10" s="857"/>
      <c r="AD10" s="158"/>
      <c r="AE10" s="847" t="s">
        <v>12</v>
      </c>
    </row>
    <row r="11" spans="1:32" ht="31.5" x14ac:dyDescent="0.25">
      <c r="A11" s="141" t="s">
        <v>13</v>
      </c>
      <c r="B11" s="169" t="s">
        <v>14</v>
      </c>
      <c r="C11" s="104" t="s">
        <v>15</v>
      </c>
      <c r="D11" s="850" t="s">
        <v>16</v>
      </c>
      <c r="E11" s="851"/>
      <c r="F11" s="201"/>
      <c r="G11" s="169" t="s">
        <v>14</v>
      </c>
      <c r="H11" s="104" t="s">
        <v>15</v>
      </c>
      <c r="I11" s="850" t="s">
        <v>16</v>
      </c>
      <c r="J11" s="851"/>
      <c r="K11" s="201"/>
      <c r="L11" s="169" t="s">
        <v>14</v>
      </c>
      <c r="M11" s="104" t="s">
        <v>15</v>
      </c>
      <c r="N11" s="850" t="s">
        <v>16</v>
      </c>
      <c r="O11" s="851"/>
      <c r="P11" s="201"/>
      <c r="Q11" s="169" t="s">
        <v>14</v>
      </c>
      <c r="R11" s="104" t="s">
        <v>15</v>
      </c>
      <c r="S11" s="850" t="s">
        <v>16</v>
      </c>
      <c r="T11" s="851"/>
      <c r="U11" s="201"/>
      <c r="V11" s="169" t="s">
        <v>14</v>
      </c>
      <c r="W11" s="104" t="s">
        <v>15</v>
      </c>
      <c r="X11" s="850" t="s">
        <v>16</v>
      </c>
      <c r="Y11" s="851"/>
      <c r="Z11" s="201"/>
      <c r="AA11" s="247" t="s">
        <v>17</v>
      </c>
      <c r="AB11" s="850" t="s">
        <v>18</v>
      </c>
      <c r="AC11" s="851"/>
      <c r="AD11" s="159"/>
      <c r="AE11" s="848"/>
    </row>
    <row r="12" spans="1:32" ht="16.5" thickBot="1" x14ac:dyDescent="0.3">
      <c r="A12" s="142"/>
      <c r="B12" s="170" t="s">
        <v>19</v>
      </c>
      <c r="C12" s="105" t="s">
        <v>19</v>
      </c>
      <c r="D12" s="106" t="s">
        <v>19</v>
      </c>
      <c r="E12" s="171" t="s">
        <v>20</v>
      </c>
      <c r="F12" s="202"/>
      <c r="G12" s="209" t="s">
        <v>19</v>
      </c>
      <c r="H12" s="107" t="s">
        <v>19</v>
      </c>
      <c r="I12" s="108" t="s">
        <v>19</v>
      </c>
      <c r="J12" s="210" t="s">
        <v>20</v>
      </c>
      <c r="K12" s="202"/>
      <c r="L12" s="209" t="s">
        <v>19</v>
      </c>
      <c r="M12" s="107" t="s">
        <v>19</v>
      </c>
      <c r="N12" s="108" t="s">
        <v>19</v>
      </c>
      <c r="O12" s="210" t="s">
        <v>20</v>
      </c>
      <c r="P12" s="202"/>
      <c r="Q12" s="209" t="s">
        <v>19</v>
      </c>
      <c r="R12" s="107" t="s">
        <v>19</v>
      </c>
      <c r="S12" s="108" t="s">
        <v>19</v>
      </c>
      <c r="T12" s="210" t="s">
        <v>20</v>
      </c>
      <c r="U12" s="202"/>
      <c r="V12" s="209" t="s">
        <v>19</v>
      </c>
      <c r="W12" s="107" t="s">
        <v>19</v>
      </c>
      <c r="X12" s="108" t="s">
        <v>19</v>
      </c>
      <c r="Y12" s="210" t="s">
        <v>20</v>
      </c>
      <c r="Z12" s="202"/>
      <c r="AA12" s="209" t="s">
        <v>19</v>
      </c>
      <c r="AB12" s="108" t="s">
        <v>19</v>
      </c>
      <c r="AC12" s="210" t="s">
        <v>20</v>
      </c>
      <c r="AD12" s="160"/>
      <c r="AE12" s="849"/>
    </row>
    <row r="13" spans="1:32" ht="15.75" x14ac:dyDescent="0.25">
      <c r="A13" s="143" t="s">
        <v>21</v>
      </c>
      <c r="B13" s="172"/>
      <c r="C13" s="72"/>
      <c r="D13" s="72"/>
      <c r="E13" s="173"/>
      <c r="F13" s="203"/>
      <c r="G13" s="184"/>
      <c r="H13" s="73"/>
      <c r="I13" s="73"/>
      <c r="J13" s="185"/>
      <c r="K13" s="203"/>
      <c r="L13" s="184"/>
      <c r="M13" s="73"/>
      <c r="N13" s="73"/>
      <c r="O13" s="185"/>
      <c r="P13" s="203"/>
      <c r="Q13" s="184"/>
      <c r="R13" s="73"/>
      <c r="S13" s="73"/>
      <c r="T13" s="185"/>
      <c r="U13" s="203"/>
      <c r="V13" s="181">
        <f t="shared" ref="V13:V23" si="0">B13+G13+L13+Q13</f>
        <v>0</v>
      </c>
      <c r="W13" s="73"/>
      <c r="X13" s="73"/>
      <c r="Y13" s="185"/>
      <c r="Z13" s="203"/>
      <c r="AA13" s="184"/>
      <c r="AB13" s="73"/>
      <c r="AC13" s="185"/>
      <c r="AD13" s="161"/>
      <c r="AE13" s="74"/>
    </row>
    <row r="14" spans="1:32" ht="15.75" x14ac:dyDescent="0.25">
      <c r="A14" s="144" t="s">
        <v>151</v>
      </c>
      <c r="B14" s="174">
        <v>0</v>
      </c>
      <c r="C14" s="75">
        <v>0</v>
      </c>
      <c r="D14" s="76">
        <f t="shared" ref="D14:D23" si="1">C14-B14</f>
        <v>0</v>
      </c>
      <c r="E14" s="176" t="str">
        <f t="shared" ref="E14:E24" si="2">IF(ISERROR(D14/B14),"-",D14/B14)</f>
        <v>-</v>
      </c>
      <c r="F14" s="204"/>
      <c r="G14" s="174">
        <v>0</v>
      </c>
      <c r="H14" s="75">
        <v>0</v>
      </c>
      <c r="I14" s="76">
        <f t="shared" ref="I14:I23" si="3">H14-G14</f>
        <v>0</v>
      </c>
      <c r="J14" s="220" t="str">
        <f t="shared" ref="J14:J24" si="4">IF(ISERROR(I14/G14),"-",I14/G14)</f>
        <v>-</v>
      </c>
      <c r="K14" s="204"/>
      <c r="L14" s="174"/>
      <c r="M14" s="75"/>
      <c r="N14" s="76"/>
      <c r="O14" s="175"/>
      <c r="P14" s="204"/>
      <c r="Q14" s="174">
        <v>0</v>
      </c>
      <c r="R14" s="75">
        <v>0</v>
      </c>
      <c r="S14" s="76">
        <f t="shared" ref="S14:S23" si="5">R14-Q14</f>
        <v>0</v>
      </c>
      <c r="T14" s="175" t="str">
        <f t="shared" ref="T14:T28" si="6">IF(ISERROR(S14/Q14),"-",S14/Q14)</f>
        <v>-</v>
      </c>
      <c r="U14" s="204"/>
      <c r="V14" s="181">
        <f t="shared" si="0"/>
        <v>0</v>
      </c>
      <c r="W14" s="76">
        <f t="shared" ref="W14:W23" si="7">C14+H14+M14+R14</f>
        <v>0</v>
      </c>
      <c r="X14" s="76">
        <f t="shared" ref="X14:X23" si="8">W14-V14</f>
        <v>0</v>
      </c>
      <c r="Y14" s="175" t="str">
        <f t="shared" ref="Y14:Y22" si="9">IF(ISERROR(X14/V14),"-",X14/V14)</f>
        <v>-</v>
      </c>
      <c r="Z14" s="204"/>
      <c r="AA14" s="181">
        <v>0</v>
      </c>
      <c r="AB14" s="76">
        <f t="shared" ref="AB14:AB23" si="10">AA14-W14</f>
        <v>0</v>
      </c>
      <c r="AC14" s="175" t="str">
        <f t="shared" ref="AC14:AC24" si="11">IF(ISERROR(AB14/AA14),"-",AB14/AA14)</f>
        <v>-</v>
      </c>
      <c r="AD14" s="162"/>
      <c r="AE14" s="77"/>
    </row>
    <row r="15" spans="1:32" ht="15.75" x14ac:dyDescent="0.25">
      <c r="A15" s="145" t="s">
        <v>152</v>
      </c>
      <c r="B15" s="174">
        <v>0</v>
      </c>
      <c r="C15" s="75">
        <v>0</v>
      </c>
      <c r="D15" s="76">
        <f t="shared" si="1"/>
        <v>0</v>
      </c>
      <c r="E15" s="175" t="str">
        <f t="shared" si="2"/>
        <v>-</v>
      </c>
      <c r="F15" s="205"/>
      <c r="G15" s="174">
        <v>0</v>
      </c>
      <c r="H15" s="75">
        <v>0</v>
      </c>
      <c r="I15" s="76">
        <f t="shared" si="3"/>
        <v>0</v>
      </c>
      <c r="J15" s="220" t="str">
        <f t="shared" si="4"/>
        <v>-</v>
      </c>
      <c r="K15" s="205"/>
      <c r="L15" s="174"/>
      <c r="M15" s="75"/>
      <c r="N15" s="76"/>
      <c r="O15" s="175"/>
      <c r="P15" s="205"/>
      <c r="Q15" s="174">
        <v>0</v>
      </c>
      <c r="R15" s="75">
        <v>0</v>
      </c>
      <c r="S15" s="76">
        <f t="shared" si="5"/>
        <v>0</v>
      </c>
      <c r="T15" s="175" t="str">
        <f t="shared" si="6"/>
        <v>-</v>
      </c>
      <c r="U15" s="205"/>
      <c r="V15" s="181">
        <f t="shared" si="0"/>
        <v>0</v>
      </c>
      <c r="W15" s="76">
        <f t="shared" si="7"/>
        <v>0</v>
      </c>
      <c r="X15" s="76">
        <f t="shared" si="8"/>
        <v>0</v>
      </c>
      <c r="Y15" s="175" t="str">
        <f t="shared" si="9"/>
        <v>-</v>
      </c>
      <c r="Z15" s="205"/>
      <c r="AA15" s="181">
        <v>0</v>
      </c>
      <c r="AB15" s="76">
        <f t="shared" si="10"/>
        <v>0</v>
      </c>
      <c r="AC15" s="175" t="str">
        <f t="shared" si="11"/>
        <v>-</v>
      </c>
      <c r="AD15" s="163"/>
      <c r="AE15" s="78"/>
    </row>
    <row r="16" spans="1:32" ht="15.75" x14ac:dyDescent="0.25">
      <c r="A16" s="145" t="s">
        <v>24</v>
      </c>
      <c r="B16" s="174">
        <v>214</v>
      </c>
      <c r="C16" s="75">
        <v>214.12</v>
      </c>
      <c r="D16" s="76">
        <f t="shared" si="1"/>
        <v>0.12000000000000455</v>
      </c>
      <c r="E16" s="175">
        <f t="shared" si="2"/>
        <v>5.6074766355142312E-4</v>
      </c>
      <c r="F16" s="204"/>
      <c r="G16" s="174">
        <v>0</v>
      </c>
      <c r="H16" s="75">
        <v>0</v>
      </c>
      <c r="I16" s="76">
        <f t="shared" si="3"/>
        <v>0</v>
      </c>
      <c r="J16" s="220" t="str">
        <f t="shared" si="4"/>
        <v>-</v>
      </c>
      <c r="K16" s="204"/>
      <c r="L16" s="174"/>
      <c r="M16" s="75"/>
      <c r="N16" s="76"/>
      <c r="O16" s="176"/>
      <c r="P16" s="204"/>
      <c r="Q16" s="174">
        <v>0</v>
      </c>
      <c r="R16" s="75">
        <v>0</v>
      </c>
      <c r="S16" s="76">
        <f t="shared" si="5"/>
        <v>0</v>
      </c>
      <c r="T16" s="176" t="str">
        <f t="shared" si="6"/>
        <v>-</v>
      </c>
      <c r="U16" s="204"/>
      <c r="V16" s="181">
        <f t="shared" si="0"/>
        <v>214</v>
      </c>
      <c r="W16" s="76">
        <f t="shared" si="7"/>
        <v>214.12</v>
      </c>
      <c r="X16" s="76">
        <f t="shared" si="8"/>
        <v>0.12000000000000455</v>
      </c>
      <c r="Y16" s="175">
        <f t="shared" si="9"/>
        <v>5.6074766355142312E-4</v>
      </c>
      <c r="Z16" s="204"/>
      <c r="AA16" s="181">
        <v>345</v>
      </c>
      <c r="AB16" s="76">
        <f t="shared" si="10"/>
        <v>130.88</v>
      </c>
      <c r="AC16" s="175">
        <f t="shared" si="11"/>
        <v>0.37936231884057969</v>
      </c>
      <c r="AD16" s="162"/>
      <c r="AE16" s="77"/>
    </row>
    <row r="17" spans="1:31" ht="15.75" x14ac:dyDescent="0.25">
      <c r="A17" s="145" t="s">
        <v>25</v>
      </c>
      <c r="B17" s="174">
        <v>0</v>
      </c>
      <c r="C17" s="75">
        <v>0</v>
      </c>
      <c r="D17" s="76">
        <f t="shared" si="1"/>
        <v>0</v>
      </c>
      <c r="E17" s="175" t="str">
        <f t="shared" si="2"/>
        <v>-</v>
      </c>
      <c r="F17" s="204"/>
      <c r="G17" s="174">
        <v>0</v>
      </c>
      <c r="H17" s="75">
        <v>0</v>
      </c>
      <c r="I17" s="76">
        <f t="shared" si="3"/>
        <v>0</v>
      </c>
      <c r="J17" s="220" t="str">
        <f t="shared" si="4"/>
        <v>-</v>
      </c>
      <c r="K17" s="204"/>
      <c r="L17" s="174"/>
      <c r="M17" s="75"/>
      <c r="N17" s="76"/>
      <c r="O17" s="175"/>
      <c r="P17" s="204"/>
      <c r="Q17" s="174">
        <v>0</v>
      </c>
      <c r="R17" s="75">
        <v>0</v>
      </c>
      <c r="S17" s="76">
        <f t="shared" si="5"/>
        <v>0</v>
      </c>
      <c r="T17" s="175" t="str">
        <f t="shared" si="6"/>
        <v>-</v>
      </c>
      <c r="U17" s="204"/>
      <c r="V17" s="181">
        <f t="shared" si="0"/>
        <v>0</v>
      </c>
      <c r="W17" s="76">
        <f t="shared" si="7"/>
        <v>0</v>
      </c>
      <c r="X17" s="76">
        <f t="shared" si="8"/>
        <v>0</v>
      </c>
      <c r="Y17" s="175" t="str">
        <f t="shared" si="9"/>
        <v>-</v>
      </c>
      <c r="Z17" s="204"/>
      <c r="AA17" s="181">
        <v>0</v>
      </c>
      <c r="AB17" s="76">
        <f t="shared" si="10"/>
        <v>0</v>
      </c>
      <c r="AC17" s="175" t="str">
        <f t="shared" si="11"/>
        <v>-</v>
      </c>
      <c r="AD17" s="162"/>
      <c r="AE17" s="77"/>
    </row>
    <row r="18" spans="1:31" ht="15.75" x14ac:dyDescent="0.25">
      <c r="A18" s="145" t="s">
        <v>26</v>
      </c>
      <c r="B18" s="174">
        <v>378126</v>
      </c>
      <c r="C18" s="75">
        <f>8858.67+246960.08+164.94</f>
        <v>255983.69</v>
      </c>
      <c r="D18" s="76">
        <f t="shared" si="1"/>
        <v>-122142.31</v>
      </c>
      <c r="E18" s="175">
        <f t="shared" si="2"/>
        <v>-0.32302013085585229</v>
      </c>
      <c r="F18" s="204"/>
      <c r="G18" s="174">
        <v>0</v>
      </c>
      <c r="H18" s="75">
        <f>8723.21+133.32+131.78</f>
        <v>8988.31</v>
      </c>
      <c r="I18" s="76">
        <f t="shared" si="3"/>
        <v>8988.31</v>
      </c>
      <c r="J18" s="220" t="str">
        <f t="shared" si="4"/>
        <v>-</v>
      </c>
      <c r="K18" s="204"/>
      <c r="L18" s="174"/>
      <c r="M18" s="75"/>
      <c r="N18" s="76"/>
      <c r="O18" s="175"/>
      <c r="P18" s="204"/>
      <c r="Q18" s="174">
        <v>0</v>
      </c>
      <c r="R18" s="75">
        <v>0</v>
      </c>
      <c r="S18" s="76">
        <f t="shared" si="5"/>
        <v>0</v>
      </c>
      <c r="T18" s="175" t="str">
        <f t="shared" si="6"/>
        <v>-</v>
      </c>
      <c r="U18" s="204"/>
      <c r="V18" s="181">
        <f t="shared" si="0"/>
        <v>378126</v>
      </c>
      <c r="W18" s="76">
        <f t="shared" si="7"/>
        <v>264972</v>
      </c>
      <c r="X18" s="76">
        <f t="shared" si="8"/>
        <v>-113154</v>
      </c>
      <c r="Y18" s="175">
        <f t="shared" si="9"/>
        <v>-0.29924945653036289</v>
      </c>
      <c r="Z18" s="204"/>
      <c r="AA18" s="181">
        <f>7501+4840+22205+218536+44</f>
        <v>253126</v>
      </c>
      <c r="AB18" s="76">
        <f t="shared" si="10"/>
        <v>-11846</v>
      </c>
      <c r="AC18" s="175">
        <f t="shared" si="11"/>
        <v>-4.6798827461422374E-2</v>
      </c>
      <c r="AD18" s="162"/>
      <c r="AE18" s="78"/>
    </row>
    <row r="19" spans="1:31" ht="15.75" x14ac:dyDescent="0.25">
      <c r="A19" s="145" t="s">
        <v>27</v>
      </c>
      <c r="B19" s="174">
        <v>0</v>
      </c>
      <c r="C19" s="75">
        <v>0</v>
      </c>
      <c r="D19" s="76">
        <f t="shared" si="1"/>
        <v>0</v>
      </c>
      <c r="E19" s="176" t="str">
        <f t="shared" si="2"/>
        <v>-</v>
      </c>
      <c r="F19" s="204"/>
      <c r="G19" s="174">
        <v>0</v>
      </c>
      <c r="H19" s="75">
        <v>0</v>
      </c>
      <c r="I19" s="76">
        <f t="shared" si="3"/>
        <v>0</v>
      </c>
      <c r="J19" s="220" t="str">
        <f t="shared" si="4"/>
        <v>-</v>
      </c>
      <c r="K19" s="204"/>
      <c r="L19" s="174"/>
      <c r="M19" s="75"/>
      <c r="N19" s="76"/>
      <c r="O19" s="176"/>
      <c r="P19" s="204"/>
      <c r="Q19" s="174">
        <v>0</v>
      </c>
      <c r="R19" s="75">
        <v>0</v>
      </c>
      <c r="S19" s="76">
        <f t="shared" si="5"/>
        <v>0</v>
      </c>
      <c r="T19" s="176" t="str">
        <f t="shared" si="6"/>
        <v>-</v>
      </c>
      <c r="U19" s="204"/>
      <c r="V19" s="181">
        <f t="shared" si="0"/>
        <v>0</v>
      </c>
      <c r="W19" s="76">
        <f t="shared" si="7"/>
        <v>0</v>
      </c>
      <c r="X19" s="76">
        <f t="shared" si="8"/>
        <v>0</v>
      </c>
      <c r="Y19" s="175" t="str">
        <f t="shared" si="9"/>
        <v>-</v>
      </c>
      <c r="Z19" s="204"/>
      <c r="AA19" s="181">
        <v>0</v>
      </c>
      <c r="AB19" s="76">
        <f t="shared" si="10"/>
        <v>0</v>
      </c>
      <c r="AC19" s="175" t="str">
        <f t="shared" si="11"/>
        <v>-</v>
      </c>
      <c r="AD19" s="162"/>
      <c r="AE19" s="77"/>
    </row>
    <row r="20" spans="1:31" ht="15.75" x14ac:dyDescent="0.25">
      <c r="A20" s="145" t="s">
        <v>28</v>
      </c>
      <c r="B20" s="174">
        <v>2450000</v>
      </c>
      <c r="C20" s="75">
        <v>2450000</v>
      </c>
      <c r="D20" s="76">
        <f t="shared" si="1"/>
        <v>0</v>
      </c>
      <c r="E20" s="176">
        <f t="shared" si="2"/>
        <v>0</v>
      </c>
      <c r="F20" s="204"/>
      <c r="G20" s="174">
        <v>1691413</v>
      </c>
      <c r="H20" s="75">
        <f>1649614.76+41666.67</f>
        <v>1691281.43</v>
      </c>
      <c r="I20" s="76">
        <f t="shared" si="3"/>
        <v>-131.57000000006519</v>
      </c>
      <c r="J20" s="220">
        <f t="shared" si="4"/>
        <v>-7.7787033681345235E-5</v>
      </c>
      <c r="K20" s="204"/>
      <c r="L20" s="174"/>
      <c r="M20" s="75"/>
      <c r="N20" s="76"/>
      <c r="O20" s="176"/>
      <c r="P20" s="204"/>
      <c r="Q20" s="174">
        <v>0</v>
      </c>
      <c r="R20" s="75">
        <v>0</v>
      </c>
      <c r="S20" s="76">
        <f t="shared" si="5"/>
        <v>0</v>
      </c>
      <c r="T20" s="176" t="str">
        <f t="shared" si="6"/>
        <v>-</v>
      </c>
      <c r="U20" s="204"/>
      <c r="V20" s="181">
        <f t="shared" si="0"/>
        <v>4141413</v>
      </c>
      <c r="W20" s="76">
        <f t="shared" si="7"/>
        <v>4141281.4299999997</v>
      </c>
      <c r="X20" s="76">
        <f t="shared" si="8"/>
        <v>-131.57000000029802</v>
      </c>
      <c r="Y20" s="175">
        <f t="shared" si="9"/>
        <v>-3.1769350219429459E-5</v>
      </c>
      <c r="Z20" s="204"/>
      <c r="AA20" s="181">
        <f>6598460.32+166666</f>
        <v>6765126.3200000003</v>
      </c>
      <c r="AB20" s="76">
        <f t="shared" si="10"/>
        <v>2623844.8900000006</v>
      </c>
      <c r="AC20" s="175">
        <f t="shared" si="11"/>
        <v>0.38784861743719817</v>
      </c>
      <c r="AD20" s="162"/>
      <c r="AE20" s="77"/>
    </row>
    <row r="21" spans="1:31" ht="15.75" x14ac:dyDescent="0.25">
      <c r="A21" s="144" t="s">
        <v>29</v>
      </c>
      <c r="B21" s="174">
        <v>0</v>
      </c>
      <c r="C21" s="75">
        <v>0</v>
      </c>
      <c r="D21" s="76">
        <f t="shared" si="1"/>
        <v>0</v>
      </c>
      <c r="E21" s="176" t="str">
        <f t="shared" si="2"/>
        <v>-</v>
      </c>
      <c r="F21" s="204"/>
      <c r="G21" s="174">
        <v>0</v>
      </c>
      <c r="H21" s="75">
        <v>0</v>
      </c>
      <c r="I21" s="76">
        <f t="shared" si="3"/>
        <v>0</v>
      </c>
      <c r="J21" s="176" t="str">
        <f t="shared" si="4"/>
        <v>-</v>
      </c>
      <c r="K21" s="204"/>
      <c r="L21" s="174"/>
      <c r="M21" s="75"/>
      <c r="N21" s="76"/>
      <c r="O21" s="176"/>
      <c r="P21" s="204"/>
      <c r="Q21" s="174">
        <v>0</v>
      </c>
      <c r="R21" s="75">
        <v>0</v>
      </c>
      <c r="S21" s="76">
        <f t="shared" si="5"/>
        <v>0</v>
      </c>
      <c r="T21" s="176" t="str">
        <f t="shared" si="6"/>
        <v>-</v>
      </c>
      <c r="U21" s="204"/>
      <c r="V21" s="181">
        <f t="shared" si="0"/>
        <v>0</v>
      </c>
      <c r="W21" s="76">
        <f t="shared" si="7"/>
        <v>0</v>
      </c>
      <c r="X21" s="76">
        <f t="shared" si="8"/>
        <v>0</v>
      </c>
      <c r="Y21" s="175" t="str">
        <f t="shared" si="9"/>
        <v>-</v>
      </c>
      <c r="Z21" s="204"/>
      <c r="AA21" s="181">
        <v>0</v>
      </c>
      <c r="AB21" s="76">
        <f t="shared" si="10"/>
        <v>0</v>
      </c>
      <c r="AC21" s="175" t="str">
        <f t="shared" si="11"/>
        <v>-</v>
      </c>
      <c r="AD21" s="162"/>
      <c r="AE21" s="77"/>
    </row>
    <row r="22" spans="1:31" ht="15.75" x14ac:dyDescent="0.25">
      <c r="A22" s="145" t="s">
        <v>30</v>
      </c>
      <c r="B22" s="174">
        <v>0</v>
      </c>
      <c r="C22" s="75">
        <v>0</v>
      </c>
      <c r="D22" s="76">
        <f t="shared" si="1"/>
        <v>0</v>
      </c>
      <c r="E22" s="176" t="str">
        <f t="shared" si="2"/>
        <v>-</v>
      </c>
      <c r="F22" s="204"/>
      <c r="G22" s="174">
        <v>0</v>
      </c>
      <c r="H22" s="75">
        <v>0</v>
      </c>
      <c r="I22" s="76">
        <f t="shared" si="3"/>
        <v>0</v>
      </c>
      <c r="J22" s="176" t="str">
        <f t="shared" si="4"/>
        <v>-</v>
      </c>
      <c r="K22" s="204"/>
      <c r="L22" s="174"/>
      <c r="M22" s="75"/>
      <c r="N22" s="76"/>
      <c r="O22" s="176"/>
      <c r="P22" s="204"/>
      <c r="Q22" s="174">
        <v>0</v>
      </c>
      <c r="R22" s="75">
        <v>0</v>
      </c>
      <c r="S22" s="76">
        <f t="shared" si="5"/>
        <v>0</v>
      </c>
      <c r="T22" s="176" t="str">
        <f t="shared" si="6"/>
        <v>-</v>
      </c>
      <c r="U22" s="204"/>
      <c r="V22" s="181">
        <f t="shared" si="0"/>
        <v>0</v>
      </c>
      <c r="W22" s="76">
        <f t="shared" si="7"/>
        <v>0</v>
      </c>
      <c r="X22" s="76">
        <f t="shared" si="8"/>
        <v>0</v>
      </c>
      <c r="Y22" s="175" t="str">
        <f t="shared" si="9"/>
        <v>-</v>
      </c>
      <c r="Z22" s="204"/>
      <c r="AA22" s="181">
        <v>0</v>
      </c>
      <c r="AB22" s="76">
        <f t="shared" si="10"/>
        <v>0</v>
      </c>
      <c r="AC22" s="176" t="str">
        <f t="shared" si="11"/>
        <v>-</v>
      </c>
      <c r="AD22" s="162"/>
      <c r="AE22" s="77"/>
    </row>
    <row r="23" spans="1:31" ht="15.75" x14ac:dyDescent="0.25">
      <c r="A23" s="251" t="s">
        <v>201</v>
      </c>
      <c r="B23" s="189"/>
      <c r="C23" s="87"/>
      <c r="D23" s="76">
        <f t="shared" si="1"/>
        <v>0</v>
      </c>
      <c r="E23" s="176" t="str">
        <f t="shared" si="2"/>
        <v>-</v>
      </c>
      <c r="F23" s="203"/>
      <c r="G23" s="189"/>
      <c r="H23" s="87"/>
      <c r="I23" s="76">
        <f t="shared" si="3"/>
        <v>0</v>
      </c>
      <c r="J23" s="175" t="str">
        <f t="shared" si="4"/>
        <v>-</v>
      </c>
      <c r="K23" s="203"/>
      <c r="L23" s="189"/>
      <c r="M23" s="75"/>
      <c r="N23" s="76"/>
      <c r="O23" s="175"/>
      <c r="P23" s="203"/>
      <c r="Q23" s="189"/>
      <c r="R23" s="87"/>
      <c r="S23" s="76">
        <f t="shared" si="5"/>
        <v>0</v>
      </c>
      <c r="T23" s="175" t="str">
        <f t="shared" si="6"/>
        <v>-</v>
      </c>
      <c r="U23" s="203"/>
      <c r="V23" s="181">
        <f t="shared" si="0"/>
        <v>0</v>
      </c>
      <c r="W23" s="76">
        <f t="shared" si="7"/>
        <v>0</v>
      </c>
      <c r="X23" s="76">
        <f t="shared" si="8"/>
        <v>0</v>
      </c>
      <c r="Y23" s="175" t="str">
        <f t="shared" ref="Y23:Y24" si="12">IF(ISERROR(X23/V23),"-",X23/V23)</f>
        <v>-</v>
      </c>
      <c r="Z23" s="203"/>
      <c r="AA23" s="189"/>
      <c r="AB23" s="76">
        <f t="shared" si="10"/>
        <v>0</v>
      </c>
      <c r="AC23" s="175" t="str">
        <f t="shared" si="11"/>
        <v>-</v>
      </c>
      <c r="AD23" s="161"/>
      <c r="AE23" s="77"/>
    </row>
    <row r="24" spans="1:31" ht="15.75" x14ac:dyDescent="0.25">
      <c r="A24" s="146" t="s">
        <v>32</v>
      </c>
      <c r="B24" s="177">
        <f>SUM(B14:B23)</f>
        <v>2828340</v>
      </c>
      <c r="C24" s="110">
        <f>SUM(C14:C23)</f>
        <v>2706197.81</v>
      </c>
      <c r="D24" s="110">
        <f>SUM(D14:D23)</f>
        <v>-122142.19</v>
      </c>
      <c r="E24" s="178">
        <f t="shared" si="2"/>
        <v>-4.3185115650876488E-2</v>
      </c>
      <c r="F24" s="206"/>
      <c r="G24" s="177">
        <f>SUM(G14:G23)</f>
        <v>1691413</v>
      </c>
      <c r="H24" s="110">
        <f>SUM(H14:H23)</f>
        <v>1700269.74</v>
      </c>
      <c r="I24" s="110">
        <f>SUM(I14:I23)</f>
        <v>8856.7399999999343</v>
      </c>
      <c r="J24" s="178">
        <f t="shared" si="4"/>
        <v>5.2362965165810684E-3</v>
      </c>
      <c r="K24" s="206"/>
      <c r="L24" s="177"/>
      <c r="M24" s="110"/>
      <c r="N24" s="110"/>
      <c r="O24" s="178"/>
      <c r="P24" s="206"/>
      <c r="Q24" s="177">
        <f>SUM(Q14:Q23)</f>
        <v>0</v>
      </c>
      <c r="R24" s="110">
        <f>SUM(R14:R23)</f>
        <v>0</v>
      </c>
      <c r="S24" s="110">
        <f>SUM(S14:S23)</f>
        <v>0</v>
      </c>
      <c r="T24" s="236" t="str">
        <f t="shared" si="6"/>
        <v>-</v>
      </c>
      <c r="U24" s="206"/>
      <c r="V24" s="177">
        <f>SUM(V14:V23)</f>
        <v>4519753</v>
      </c>
      <c r="W24" s="110">
        <f>SUM(W14:W23)</f>
        <v>4406467.55</v>
      </c>
      <c r="X24" s="110">
        <f>SUM(X14:X23)</f>
        <v>-113285.4500000003</v>
      </c>
      <c r="Y24" s="236">
        <f t="shared" si="12"/>
        <v>-2.5064522331198255E-2</v>
      </c>
      <c r="Z24" s="206"/>
      <c r="AA24" s="242">
        <f>SUM(AA14:AA23)</f>
        <v>7018597.3200000003</v>
      </c>
      <c r="AB24" s="109">
        <f>SUM(AB14:AB23)</f>
        <v>2612129.7700000005</v>
      </c>
      <c r="AC24" s="248">
        <f t="shared" si="11"/>
        <v>0.37217262237805665</v>
      </c>
      <c r="AD24" s="164"/>
      <c r="AE24" s="80"/>
    </row>
    <row r="25" spans="1:31" ht="15.75" x14ac:dyDescent="0.25">
      <c r="A25" s="147"/>
      <c r="B25" s="179"/>
      <c r="C25" s="81"/>
      <c r="D25" s="81"/>
      <c r="E25" s="180"/>
      <c r="F25" s="204"/>
      <c r="G25" s="211"/>
      <c r="H25" s="129"/>
      <c r="I25" s="129"/>
      <c r="J25" s="212"/>
      <c r="K25" s="204"/>
      <c r="L25" s="179"/>
      <c r="M25" s="81"/>
      <c r="N25" s="81"/>
      <c r="O25" s="180"/>
      <c r="P25" s="204"/>
      <c r="Q25" s="211"/>
      <c r="R25" s="129"/>
      <c r="S25" s="129"/>
      <c r="T25" s="237" t="str">
        <f t="shared" si="6"/>
        <v>-</v>
      </c>
      <c r="U25" s="204"/>
      <c r="V25" s="179"/>
      <c r="W25" s="81"/>
      <c r="X25" s="81"/>
      <c r="Y25" s="180"/>
      <c r="Z25" s="204"/>
      <c r="AA25" s="179"/>
      <c r="AB25" s="81"/>
      <c r="AC25" s="180"/>
      <c r="AD25" s="162"/>
      <c r="AE25" s="77"/>
    </row>
    <row r="26" spans="1:31" ht="15.75" x14ac:dyDescent="0.25">
      <c r="A26" s="148" t="s">
        <v>33</v>
      </c>
      <c r="B26" s="181"/>
      <c r="C26" s="76"/>
      <c r="D26" s="76">
        <f>C26-B26</f>
        <v>0</v>
      </c>
      <c r="E26" s="176" t="str">
        <f>IF(ISERROR(D26/B26),"-",D26/B26)</f>
        <v>-</v>
      </c>
      <c r="F26" s="204"/>
      <c r="G26" s="213">
        <v>0</v>
      </c>
      <c r="H26" s="130">
        <v>0</v>
      </c>
      <c r="I26" s="130">
        <f>H26-G26</f>
        <v>0</v>
      </c>
      <c r="J26" s="214" t="str">
        <f>IF(ISERROR(I26/G26),"-",I26/G26)</f>
        <v>-</v>
      </c>
      <c r="K26" s="204"/>
      <c r="L26" s="181"/>
      <c r="M26" s="76"/>
      <c r="N26" s="76"/>
      <c r="O26" s="176"/>
      <c r="P26" s="204"/>
      <c r="Q26" s="213"/>
      <c r="R26" s="130"/>
      <c r="S26" s="130">
        <f>Q26-R26</f>
        <v>0</v>
      </c>
      <c r="T26" s="214" t="str">
        <f t="shared" si="6"/>
        <v>-</v>
      </c>
      <c r="U26" s="204"/>
      <c r="V26" s="181">
        <f>B26+G26+L26+Q26</f>
        <v>0</v>
      </c>
      <c r="W26" s="76">
        <f>C26+H26+M26+R26</f>
        <v>0</v>
      </c>
      <c r="X26" s="76"/>
      <c r="Y26" s="186"/>
      <c r="Z26" s="204"/>
      <c r="AA26" s="181"/>
      <c r="AB26" s="76"/>
      <c r="AC26" s="186"/>
      <c r="AD26" s="162"/>
      <c r="AE26" s="77"/>
    </row>
    <row r="27" spans="1:31" ht="15.75" x14ac:dyDescent="0.25">
      <c r="A27" s="149"/>
      <c r="B27" s="182"/>
      <c r="C27" s="82"/>
      <c r="D27" s="82"/>
      <c r="E27" s="183"/>
      <c r="F27" s="203"/>
      <c r="G27" s="215"/>
      <c r="H27" s="131"/>
      <c r="I27" s="131"/>
      <c r="J27" s="216"/>
      <c r="K27" s="203"/>
      <c r="L27" s="182"/>
      <c r="M27" s="82"/>
      <c r="N27" s="82"/>
      <c r="O27" s="183"/>
      <c r="P27" s="203"/>
      <c r="Q27" s="215"/>
      <c r="R27" s="131"/>
      <c r="S27" s="131"/>
      <c r="T27" s="227" t="str">
        <f t="shared" si="6"/>
        <v>-</v>
      </c>
      <c r="U27" s="203"/>
      <c r="V27" s="182"/>
      <c r="W27" s="82"/>
      <c r="X27" s="82"/>
      <c r="Y27" s="183"/>
      <c r="Z27" s="203"/>
      <c r="AA27" s="182"/>
      <c r="AB27" s="82"/>
      <c r="AC27" s="183"/>
      <c r="AD27" s="161"/>
      <c r="AE27" s="77"/>
    </row>
    <row r="28" spans="1:31" ht="15.75" x14ac:dyDescent="0.25">
      <c r="A28" s="146" t="s">
        <v>34</v>
      </c>
      <c r="B28" s="177">
        <f>B24+B26</f>
        <v>2828340</v>
      </c>
      <c r="C28" s="110">
        <f>C24+C26</f>
        <v>2706197.81</v>
      </c>
      <c r="D28" s="110">
        <f>D24+D26</f>
        <v>-122142.19</v>
      </c>
      <c r="E28" s="178">
        <f>IF(ISERROR(D28/B28),"-",D28/B28)</f>
        <v>-4.3185115650876488E-2</v>
      </c>
      <c r="F28" s="206"/>
      <c r="G28" s="177">
        <f>G24+G26</f>
        <v>1691413</v>
      </c>
      <c r="H28" s="110">
        <f>H24+H26</f>
        <v>1700269.74</v>
      </c>
      <c r="I28" s="110">
        <f>I24+I26</f>
        <v>8856.7399999999343</v>
      </c>
      <c r="J28" s="178">
        <f>IF(ISERROR(I28/G28),"-",I28/G28)</f>
        <v>5.2362965165810684E-3</v>
      </c>
      <c r="K28" s="206"/>
      <c r="L28" s="177"/>
      <c r="M28" s="110"/>
      <c r="N28" s="110"/>
      <c r="O28" s="178"/>
      <c r="P28" s="206"/>
      <c r="Q28" s="177">
        <f>Q24+Q26</f>
        <v>0</v>
      </c>
      <c r="R28" s="110">
        <f>R24+R26</f>
        <v>0</v>
      </c>
      <c r="S28" s="110">
        <f>S24+S26</f>
        <v>0</v>
      </c>
      <c r="T28" s="178" t="str">
        <f t="shared" si="6"/>
        <v>-</v>
      </c>
      <c r="U28" s="206"/>
      <c r="V28" s="177">
        <f>V24+V26</f>
        <v>4519753</v>
      </c>
      <c r="W28" s="110">
        <f>W24+W26</f>
        <v>4406467.55</v>
      </c>
      <c r="X28" s="110">
        <f>X24+X26</f>
        <v>-113285.4500000003</v>
      </c>
      <c r="Y28" s="178">
        <f>IF(ISERROR(X28/V28),"-",X28/V28)</f>
        <v>-2.5064522331198255E-2</v>
      </c>
      <c r="Z28" s="206"/>
      <c r="AA28" s="242">
        <f>AA24+AA26</f>
        <v>7018597.3200000003</v>
      </c>
      <c r="AB28" s="109">
        <f>AA28-W28</f>
        <v>2612129.7700000005</v>
      </c>
      <c r="AC28" s="248">
        <f>IF(ISERROR(AB28/AA28),"-",AB28/AA28)</f>
        <v>0.37217262237805665</v>
      </c>
      <c r="AD28" s="164"/>
      <c r="AE28" s="80"/>
    </row>
    <row r="29" spans="1:31" ht="15.75" x14ac:dyDescent="0.25">
      <c r="A29" s="150"/>
      <c r="B29" s="184"/>
      <c r="C29" s="73"/>
      <c r="D29" s="73"/>
      <c r="E29" s="185"/>
      <c r="F29" s="203"/>
      <c r="G29" s="217"/>
      <c r="H29" s="132"/>
      <c r="I29" s="132"/>
      <c r="J29" s="218"/>
      <c r="K29" s="203"/>
      <c r="L29" s="184"/>
      <c r="M29" s="73"/>
      <c r="N29" s="73"/>
      <c r="O29" s="185"/>
      <c r="P29" s="203"/>
      <c r="Q29" s="217"/>
      <c r="R29" s="132"/>
      <c r="S29" s="132"/>
      <c r="T29" s="218"/>
      <c r="U29" s="203"/>
      <c r="V29" s="179"/>
      <c r="W29" s="81"/>
      <c r="X29" s="73"/>
      <c r="Y29" s="185"/>
      <c r="Z29" s="203"/>
      <c r="AA29" s="179"/>
      <c r="AB29" s="73"/>
      <c r="AC29" s="185"/>
      <c r="AD29" s="161"/>
      <c r="AE29" s="77"/>
    </row>
    <row r="30" spans="1:31" ht="15.75" x14ac:dyDescent="0.25">
      <c r="A30" s="148" t="s">
        <v>35</v>
      </c>
      <c r="B30" s="181"/>
      <c r="C30" s="76"/>
      <c r="D30" s="76"/>
      <c r="E30" s="186"/>
      <c r="F30" s="204"/>
      <c r="G30" s="213"/>
      <c r="H30" s="130"/>
      <c r="I30" s="130"/>
      <c r="J30" s="219"/>
      <c r="K30" s="204"/>
      <c r="L30" s="181"/>
      <c r="M30" s="76"/>
      <c r="N30" s="76"/>
      <c r="O30" s="186"/>
      <c r="P30" s="204"/>
      <c r="Q30" s="213"/>
      <c r="R30" s="130"/>
      <c r="S30" s="130"/>
      <c r="T30" s="219"/>
      <c r="U30" s="204"/>
      <c r="V30" s="181"/>
      <c r="W30" s="76"/>
      <c r="X30" s="76"/>
      <c r="Y30" s="186"/>
      <c r="Z30" s="204"/>
      <c r="AA30" s="181"/>
      <c r="AB30" s="76"/>
      <c r="AC30" s="186"/>
      <c r="AD30" s="162"/>
      <c r="AE30" s="77"/>
    </row>
    <row r="31" spans="1:31" ht="15.75" x14ac:dyDescent="0.25">
      <c r="A31" s="151"/>
      <c r="B31" s="181"/>
      <c r="C31" s="76"/>
      <c r="D31" s="76"/>
      <c r="E31" s="186"/>
      <c r="F31" s="204"/>
      <c r="G31" s="213"/>
      <c r="H31" s="130"/>
      <c r="I31" s="130"/>
      <c r="J31" s="219"/>
      <c r="K31" s="204"/>
      <c r="L31" s="181"/>
      <c r="M31" s="76"/>
      <c r="N31" s="76"/>
      <c r="O31" s="234"/>
      <c r="P31" s="204"/>
      <c r="Q31" s="213"/>
      <c r="R31" s="130"/>
      <c r="S31" s="130"/>
      <c r="T31" s="219"/>
      <c r="U31" s="204"/>
      <c r="V31" s="181"/>
      <c r="W31" s="76"/>
      <c r="X31" s="76"/>
      <c r="Y31" s="186"/>
      <c r="Z31" s="204"/>
      <c r="AA31" s="181"/>
      <c r="AB31" s="76"/>
      <c r="AC31" s="186"/>
      <c r="AD31" s="162"/>
      <c r="AE31" s="77"/>
    </row>
    <row r="32" spans="1:31" ht="15.75" x14ac:dyDescent="0.25">
      <c r="A32" s="148" t="s">
        <v>36</v>
      </c>
      <c r="B32" s="181"/>
      <c r="C32" s="76"/>
      <c r="D32" s="76"/>
      <c r="E32" s="186"/>
      <c r="F32" s="204"/>
      <c r="G32" s="213"/>
      <c r="H32" s="130"/>
      <c r="I32" s="130"/>
      <c r="J32" s="219"/>
      <c r="K32" s="204"/>
      <c r="L32" s="181"/>
      <c r="M32" s="76"/>
      <c r="N32" s="76"/>
      <c r="O32" s="186"/>
      <c r="P32" s="204"/>
      <c r="Q32" s="213"/>
      <c r="R32" s="130"/>
      <c r="S32" s="130"/>
      <c r="T32" s="219"/>
      <c r="U32" s="204"/>
      <c r="V32" s="181"/>
      <c r="W32" s="76"/>
      <c r="X32" s="76"/>
      <c r="Y32" s="186"/>
      <c r="Z32" s="204"/>
      <c r="AA32" s="181"/>
      <c r="AB32" s="76"/>
      <c r="AC32" s="186"/>
      <c r="AD32" s="162"/>
      <c r="AE32"/>
    </row>
    <row r="33" spans="1:31" ht="15.75" x14ac:dyDescent="0.25">
      <c r="A33" s="145" t="s">
        <v>37</v>
      </c>
      <c r="B33" s="181">
        <v>224813</v>
      </c>
      <c r="C33" s="76">
        <v>225195.76</v>
      </c>
      <c r="D33" s="76">
        <f>B33-C33</f>
        <v>-382.76000000000931</v>
      </c>
      <c r="E33" s="175">
        <f>IF(ISERROR(D33/B33),"-",D33/B33)</f>
        <v>-1.7025705808828195E-3</v>
      </c>
      <c r="F33" s="205"/>
      <c r="G33" s="213">
        <v>232569</v>
      </c>
      <c r="H33" s="130">
        <v>229059.03</v>
      </c>
      <c r="I33" s="130">
        <f>G33-H33</f>
        <v>3509.9700000000012</v>
      </c>
      <c r="J33" s="220">
        <f>IF(ISERROR(I33/G33),"-",I33/G33)</f>
        <v>1.509216619583866E-2</v>
      </c>
      <c r="K33" s="205"/>
      <c r="L33" s="181"/>
      <c r="M33" s="76"/>
      <c r="N33" s="76"/>
      <c r="O33" s="175"/>
      <c r="P33" s="205"/>
      <c r="Q33" s="213">
        <v>0</v>
      </c>
      <c r="R33" s="130">
        <v>0</v>
      </c>
      <c r="S33" s="130">
        <f>Q33-R33</f>
        <v>0</v>
      </c>
      <c r="T33" s="220" t="str">
        <f>IF(ISERROR(S33/Q33),"-",S33/Q33)</f>
        <v>-</v>
      </c>
      <c r="U33" s="205"/>
      <c r="V33" s="181">
        <f t="shared" ref="V33:W37" si="13">B33+G33+L33+Q33</f>
        <v>457382</v>
      </c>
      <c r="W33" s="76">
        <f t="shared" si="13"/>
        <v>454254.79000000004</v>
      </c>
      <c r="X33" s="76">
        <f>V33-W33</f>
        <v>3127.2099999999627</v>
      </c>
      <c r="Y33" s="175">
        <f>IF(ISERROR(X33/V33),"-",X33/V33)</f>
        <v>6.8371951672780359E-3</v>
      </c>
      <c r="Z33" s="205"/>
      <c r="AA33" s="181">
        <v>926857</v>
      </c>
      <c r="AB33" s="76">
        <f>AA33-W33</f>
        <v>472602.20999999996</v>
      </c>
      <c r="AC33" s="175">
        <f>IF(ISERROR(AB33/AA33),"-",AB33/AA33)</f>
        <v>0.50989765411492816</v>
      </c>
      <c r="AD33" s="163"/>
      <c r="AE33"/>
    </row>
    <row r="34" spans="1:31" ht="15.75" x14ac:dyDescent="0.25">
      <c r="A34" s="145" t="s">
        <v>38</v>
      </c>
      <c r="B34" s="181">
        <v>12344</v>
      </c>
      <c r="C34" s="76">
        <v>12343.89</v>
      </c>
      <c r="D34" s="76">
        <f>B34-C34</f>
        <v>0.11000000000058208</v>
      </c>
      <c r="E34" s="175">
        <f>IF(ISERROR(D34/B34),"-",D34/B34)</f>
        <v>8.9112119248689296E-6</v>
      </c>
      <c r="F34" s="205"/>
      <c r="G34" s="213">
        <v>12710</v>
      </c>
      <c r="H34" s="130">
        <v>12709.65</v>
      </c>
      <c r="I34" s="130">
        <f>G34-H34</f>
        <v>0.3500000000003638</v>
      </c>
      <c r="J34" s="220">
        <f>IF(ISERROR(I34/G34),"-",I34/G34)</f>
        <v>2.753737214794365E-5</v>
      </c>
      <c r="K34" s="205"/>
      <c r="L34" s="181"/>
      <c r="M34" s="76"/>
      <c r="N34" s="76"/>
      <c r="O34" s="175"/>
      <c r="P34" s="205"/>
      <c r="Q34" s="213">
        <v>0</v>
      </c>
      <c r="R34" s="130">
        <v>0</v>
      </c>
      <c r="S34" s="130">
        <f>Q34-R34</f>
        <v>0</v>
      </c>
      <c r="T34" s="220" t="str">
        <f>IF(ISERROR(S34/Q34),"-",S34/Q34)</f>
        <v>-</v>
      </c>
      <c r="U34" s="205"/>
      <c r="V34" s="181">
        <f t="shared" si="13"/>
        <v>25054</v>
      </c>
      <c r="W34" s="76">
        <f t="shared" si="13"/>
        <v>25053.54</v>
      </c>
      <c r="X34" s="76">
        <f>V34-W34</f>
        <v>0.45999999999912689</v>
      </c>
      <c r="Y34" s="175">
        <f t="shared" ref="Y34:Y38" si="14">IF(ISERROR(X34/V34),"-",X34/V34)</f>
        <v>1.8360341661975208E-5</v>
      </c>
      <c r="Z34" s="205"/>
      <c r="AA34" s="181">
        <v>50788</v>
      </c>
      <c r="AB34" s="76">
        <f>AA34-W34</f>
        <v>25734.46</v>
      </c>
      <c r="AC34" s="175">
        <f t="shared" ref="AC34:AC39" si="15">IF(ISERROR(AB34/AA34),"-",AB34/AA34)</f>
        <v>0.50670355202016226</v>
      </c>
      <c r="AD34" s="163"/>
      <c r="AE34"/>
    </row>
    <row r="35" spans="1:31" ht="15.75" x14ac:dyDescent="0.25">
      <c r="A35" s="145" t="s">
        <v>39</v>
      </c>
      <c r="B35" s="181">
        <v>5974</v>
      </c>
      <c r="C35" s="76">
        <v>5973.67</v>
      </c>
      <c r="D35" s="76">
        <f>B35-C35</f>
        <v>0.32999999999992724</v>
      </c>
      <c r="E35" s="175">
        <f>IF(ISERROR(D35/B35),"-",D35/B35)</f>
        <v>5.5239370605946977E-5</v>
      </c>
      <c r="F35" s="207"/>
      <c r="G35" s="213">
        <v>8457</v>
      </c>
      <c r="H35" s="130">
        <v>3637.68</v>
      </c>
      <c r="I35" s="130">
        <f>G35-H35</f>
        <v>4819.32</v>
      </c>
      <c r="J35" s="220">
        <f>IF(ISERROR(I35/G35),"-",I35/G35)</f>
        <v>0.56986165306846392</v>
      </c>
      <c r="K35" s="207"/>
      <c r="L35" s="181"/>
      <c r="M35" s="76"/>
      <c r="N35" s="76"/>
      <c r="O35" s="176"/>
      <c r="P35" s="207"/>
      <c r="Q35" s="213">
        <v>0</v>
      </c>
      <c r="R35" s="130">
        <v>0</v>
      </c>
      <c r="S35" s="130">
        <f>Q35-R35</f>
        <v>0</v>
      </c>
      <c r="T35" s="214" t="str">
        <f>IF(ISERROR(S35/Q35),"-",S35/Q35)</f>
        <v>-</v>
      </c>
      <c r="U35" s="207"/>
      <c r="V35" s="181">
        <f t="shared" si="13"/>
        <v>14431</v>
      </c>
      <c r="W35" s="76">
        <f t="shared" si="13"/>
        <v>9611.35</v>
      </c>
      <c r="X35" s="76">
        <f>V35-W35</f>
        <v>4819.6499999999996</v>
      </c>
      <c r="Y35" s="175">
        <f t="shared" si="14"/>
        <v>0.33397893423879149</v>
      </c>
      <c r="Z35" s="207"/>
      <c r="AA35" s="181">
        <v>24300</v>
      </c>
      <c r="AB35" s="76">
        <f>AA35-W35</f>
        <v>14688.65</v>
      </c>
      <c r="AC35" s="175">
        <f t="shared" si="15"/>
        <v>0.60447119341563782</v>
      </c>
      <c r="AD35" s="165"/>
      <c r="AE35"/>
    </row>
    <row r="36" spans="1:31" ht="15.75" x14ac:dyDescent="0.25">
      <c r="A36" s="145" t="s">
        <v>40</v>
      </c>
      <c r="B36" s="181">
        <v>9795</v>
      </c>
      <c r="C36" s="76">
        <v>9794.9</v>
      </c>
      <c r="D36" s="76">
        <f>B36-C36</f>
        <v>0.1000000000003638</v>
      </c>
      <c r="E36" s="175">
        <f>IF(ISERROR(D36/B36),"-",D36/B36)</f>
        <v>1.0209290454350567E-5</v>
      </c>
      <c r="F36" s="205"/>
      <c r="G36" s="213">
        <v>10050</v>
      </c>
      <c r="H36" s="130">
        <v>10049.93</v>
      </c>
      <c r="I36" s="130">
        <f>G36-H36</f>
        <v>6.9999999999708962E-2</v>
      </c>
      <c r="J36" s="220">
        <f>IF(ISERROR(I36/G36),"-",I36/G36)</f>
        <v>6.965174129324275E-6</v>
      </c>
      <c r="K36" s="205"/>
      <c r="L36" s="181"/>
      <c r="M36" s="76"/>
      <c r="N36" s="76"/>
      <c r="O36" s="175"/>
      <c r="P36" s="205"/>
      <c r="Q36" s="213">
        <v>0</v>
      </c>
      <c r="R36" s="130">
        <v>0</v>
      </c>
      <c r="S36" s="130">
        <f>Q36-R36</f>
        <v>0</v>
      </c>
      <c r="T36" s="220" t="str">
        <f>IF(ISERROR(S36/Q36),"-",S36/Q36)</f>
        <v>-</v>
      </c>
      <c r="U36" s="205"/>
      <c r="V36" s="181">
        <f t="shared" si="13"/>
        <v>19845</v>
      </c>
      <c r="W36" s="76">
        <f t="shared" si="13"/>
        <v>19844.830000000002</v>
      </c>
      <c r="X36" s="76">
        <f>V36-W36</f>
        <v>0.16999999999825377</v>
      </c>
      <c r="Y36" s="175">
        <f t="shared" si="14"/>
        <v>8.5663895186824783E-6</v>
      </c>
      <c r="Z36" s="205"/>
      <c r="AA36" s="181">
        <v>42063</v>
      </c>
      <c r="AB36" s="76">
        <f>AA36-W36</f>
        <v>22218.17</v>
      </c>
      <c r="AC36" s="175">
        <f t="shared" si="15"/>
        <v>0.52821173002401156</v>
      </c>
      <c r="AD36" s="163"/>
      <c r="AE36"/>
    </row>
    <row r="37" spans="1:31" ht="15.75" x14ac:dyDescent="0.25">
      <c r="A37" s="145" t="s">
        <v>41</v>
      </c>
      <c r="B37" s="181">
        <f>2511+6200</f>
        <v>8711</v>
      </c>
      <c r="C37" s="76">
        <f>2511.3+6200</f>
        <v>8711.2999999999993</v>
      </c>
      <c r="D37" s="76">
        <f>B37-C37</f>
        <v>-0.2999999999992724</v>
      </c>
      <c r="E37" s="175">
        <f>IF(ISERROR(D37/B37),"-",D37/B37)</f>
        <v>-3.4439214785819352E-5</v>
      </c>
      <c r="F37" s="205"/>
      <c r="G37" s="213">
        <f>2291+5300</f>
        <v>7591</v>
      </c>
      <c r="H37" s="130">
        <f>2290.87+5300</f>
        <v>7590.87</v>
      </c>
      <c r="I37" s="130">
        <f>G37-H37</f>
        <v>0.13000000000010914</v>
      </c>
      <c r="J37" s="220">
        <f>IF(ISERROR(I37/G37),"-",I37/G37)</f>
        <v>1.7125543406680167E-5</v>
      </c>
      <c r="K37" s="205"/>
      <c r="L37" s="181"/>
      <c r="M37" s="76"/>
      <c r="N37" s="76"/>
      <c r="O37" s="175"/>
      <c r="P37" s="205"/>
      <c r="Q37" s="213">
        <v>0</v>
      </c>
      <c r="R37" s="130">
        <v>0</v>
      </c>
      <c r="S37" s="130">
        <f>Q37-R37</f>
        <v>0</v>
      </c>
      <c r="T37" s="220" t="str">
        <f>IF(ISERROR(S37/Q37),"-",S37/Q37)</f>
        <v>-</v>
      </c>
      <c r="U37" s="205"/>
      <c r="V37" s="181">
        <f t="shared" si="13"/>
        <v>16302</v>
      </c>
      <c r="W37" s="76">
        <f t="shared" si="13"/>
        <v>16302.169999999998</v>
      </c>
      <c r="X37" s="76">
        <f>V37-W37</f>
        <v>-0.16999999999825377</v>
      </c>
      <c r="Y37" s="175">
        <f t="shared" si="14"/>
        <v>-1.0428168322798048E-5</v>
      </c>
      <c r="Z37" s="205"/>
      <c r="AA37" s="181">
        <v>123360</v>
      </c>
      <c r="AB37" s="76">
        <f>AA37-W37</f>
        <v>107057.83</v>
      </c>
      <c r="AC37" s="175">
        <f t="shared" si="15"/>
        <v>0.8678488164721142</v>
      </c>
      <c r="AD37" s="163"/>
      <c r="AE37"/>
    </row>
    <row r="38" spans="1:31" ht="15.75" x14ac:dyDescent="0.25">
      <c r="A38" s="145" t="s">
        <v>42</v>
      </c>
      <c r="B38" s="181"/>
      <c r="C38" s="76"/>
      <c r="D38" s="76"/>
      <c r="E38" s="175"/>
      <c r="F38" s="205"/>
      <c r="G38" s="213"/>
      <c r="H38" s="130"/>
      <c r="I38" s="130"/>
      <c r="J38" s="220"/>
      <c r="K38" s="205"/>
      <c r="L38" s="181"/>
      <c r="M38" s="76"/>
      <c r="N38" s="76"/>
      <c r="O38" s="175"/>
      <c r="P38" s="205"/>
      <c r="Q38" s="213"/>
      <c r="R38" s="130"/>
      <c r="S38" s="130"/>
      <c r="T38" s="220"/>
      <c r="U38" s="205"/>
      <c r="V38" s="181"/>
      <c r="W38" s="76"/>
      <c r="X38" s="76"/>
      <c r="Y38" s="175" t="str">
        <f t="shared" si="14"/>
        <v>-</v>
      </c>
      <c r="Z38" s="205"/>
      <c r="AA38" s="181"/>
      <c r="AB38" s="76"/>
      <c r="AC38" s="175" t="str">
        <f t="shared" si="15"/>
        <v>-</v>
      </c>
      <c r="AD38" s="163"/>
      <c r="AE38"/>
    </row>
    <row r="39" spans="1:31" ht="15.75" x14ac:dyDescent="0.25">
      <c r="A39" s="145" t="s">
        <v>156</v>
      </c>
      <c r="B39" s="181">
        <v>0</v>
      </c>
      <c r="C39" s="76">
        <v>0</v>
      </c>
      <c r="D39" s="76">
        <f>B39-C39</f>
        <v>0</v>
      </c>
      <c r="E39" s="176" t="str">
        <f>IF(ISERROR(D39/B39),"-",D39/B39)</f>
        <v>-</v>
      </c>
      <c r="F39" s="207"/>
      <c r="G39" s="213">
        <v>0</v>
      </c>
      <c r="H39" s="130">
        <v>0</v>
      </c>
      <c r="I39" s="130">
        <f>G39-H39</f>
        <v>0</v>
      </c>
      <c r="J39" s="214" t="str">
        <f>IF(ISERROR(I39/G39),"-",I39/G39)</f>
        <v>-</v>
      </c>
      <c r="K39" s="207"/>
      <c r="L39" s="181"/>
      <c r="M39" s="76"/>
      <c r="N39" s="76"/>
      <c r="O39" s="176"/>
      <c r="P39" s="207"/>
      <c r="Q39" s="213">
        <v>0</v>
      </c>
      <c r="R39" s="130">
        <v>0</v>
      </c>
      <c r="S39" s="130">
        <f>Q39-R39</f>
        <v>0</v>
      </c>
      <c r="T39" s="214" t="str">
        <f>IF(ISERROR(S39/Q39),"-",S39/Q39)</f>
        <v>-</v>
      </c>
      <c r="U39" s="207"/>
      <c r="V39" s="181">
        <f>B39+G39+L39+Q39</f>
        <v>0</v>
      </c>
      <c r="W39" s="76">
        <f>C39+H39+M39+R39</f>
        <v>0</v>
      </c>
      <c r="X39" s="76">
        <f>V39-W39</f>
        <v>0</v>
      </c>
      <c r="Y39" s="176" t="str">
        <f>IF(ISERROR(X39/V39),"-",X39/V39)</f>
        <v>-</v>
      </c>
      <c r="Z39" s="207"/>
      <c r="AA39" s="181">
        <v>0</v>
      </c>
      <c r="AB39" s="76">
        <f>AA39-W39</f>
        <v>0</v>
      </c>
      <c r="AC39" s="175" t="str">
        <f t="shared" si="15"/>
        <v>-</v>
      </c>
      <c r="AD39" s="165"/>
      <c r="AE39"/>
    </row>
    <row r="40" spans="1:31" ht="15.75" x14ac:dyDescent="0.25">
      <c r="A40" s="152" t="s">
        <v>44</v>
      </c>
      <c r="B40" s="187">
        <v>10069</v>
      </c>
      <c r="C40" s="79">
        <v>13644.32</v>
      </c>
      <c r="D40" s="79">
        <f>B40-C40</f>
        <v>-3575.3199999999997</v>
      </c>
      <c r="E40" s="188">
        <f>IF(ISERROR(D40/B40),"-",D40/B40)</f>
        <v>-0.3550819346509087</v>
      </c>
      <c r="F40" s="204"/>
      <c r="G40" s="221">
        <v>17162</v>
      </c>
      <c r="H40" s="133">
        <v>14317.8</v>
      </c>
      <c r="I40" s="133">
        <f>G40-H40</f>
        <v>2844.2000000000007</v>
      </c>
      <c r="J40" s="222">
        <f>IF(ISERROR(I40/G40),"-",I40/G40)</f>
        <v>0.16572660529075869</v>
      </c>
      <c r="K40" s="204"/>
      <c r="L40" s="187"/>
      <c r="M40" s="79"/>
      <c r="N40" s="79"/>
      <c r="O40" s="188"/>
      <c r="P40" s="204"/>
      <c r="Q40" s="221">
        <v>0</v>
      </c>
      <c r="R40" s="133">
        <v>0</v>
      </c>
      <c r="S40" s="133">
        <f>Q40-R40</f>
        <v>0</v>
      </c>
      <c r="T40" s="222" t="str">
        <f>IF(ISERROR(S40/Q40),"-",S40/Q40)</f>
        <v>-</v>
      </c>
      <c r="U40" s="204"/>
      <c r="V40" s="187">
        <f>B40+G40+L40+Q40</f>
        <v>27231</v>
      </c>
      <c r="W40" s="79">
        <f>C40+H40+M40+R40</f>
        <v>27962.12</v>
      </c>
      <c r="X40" s="79">
        <f>V40-W40</f>
        <v>-731.11999999999898</v>
      </c>
      <c r="Y40" s="188">
        <f>IF(ISERROR(X40/V40),"-",X40/V40)</f>
        <v>-2.6848812015717344E-2</v>
      </c>
      <c r="Z40" s="204"/>
      <c r="AA40" s="187">
        <v>61557</v>
      </c>
      <c r="AB40" s="79">
        <f>AA40-W40</f>
        <v>33594.880000000005</v>
      </c>
      <c r="AC40" s="188">
        <f>IF(ISERROR(AB40/AA40),"-",AB40/AA40)</f>
        <v>0.54575239209188242</v>
      </c>
      <c r="AD40" s="162"/>
      <c r="AE40"/>
    </row>
    <row r="41" spans="1:31" ht="15.75" x14ac:dyDescent="0.25">
      <c r="A41" s="146" t="s">
        <v>45</v>
      </c>
      <c r="B41" s="177">
        <f>SUM(B33:B40)</f>
        <v>271706</v>
      </c>
      <c r="C41" s="110">
        <f>SUM(C33:C40)</f>
        <v>275663.84000000003</v>
      </c>
      <c r="D41" s="110">
        <f>SUM(D33:D40)</f>
        <v>-3957.8400000000074</v>
      </c>
      <c r="E41" s="178">
        <f>IF(ISERROR(D41/B41),"-",D41/B41)</f>
        <v>-1.4566627163183762E-2</v>
      </c>
      <c r="F41" s="205"/>
      <c r="G41" s="177">
        <f>SUM(G33:G40)</f>
        <v>288539</v>
      </c>
      <c r="H41" s="110">
        <f>SUM(H33:H40)</f>
        <v>277364.95999999996</v>
      </c>
      <c r="I41" s="110">
        <f>SUM(I33:I40)</f>
        <v>11174.04</v>
      </c>
      <c r="J41" s="178">
        <f>IF(ISERROR(I41/G41),"-",I41/G41)</f>
        <v>3.8726272704902982E-2</v>
      </c>
      <c r="K41" s="205"/>
      <c r="L41" s="177"/>
      <c r="M41" s="110"/>
      <c r="N41" s="110"/>
      <c r="O41" s="178"/>
      <c r="P41" s="205"/>
      <c r="Q41" s="177">
        <f>SUM(Q33:Q40)</f>
        <v>0</v>
      </c>
      <c r="R41" s="110">
        <f>SUM(R33:R40)</f>
        <v>0</v>
      </c>
      <c r="S41" s="110">
        <f>SUM(S33:S40)</f>
        <v>0</v>
      </c>
      <c r="T41" s="178" t="str">
        <f>IF(ISERROR(S41/Q41),"-",S41/Q41)</f>
        <v>-</v>
      </c>
      <c r="U41" s="205"/>
      <c r="V41" s="177">
        <f>SUM(V33:V40)</f>
        <v>560245</v>
      </c>
      <c r="W41" s="110">
        <f>SUM(W33:W40)</f>
        <v>553028.80000000005</v>
      </c>
      <c r="X41" s="110">
        <f>SUM(X33:X40)</f>
        <v>7216.1999999999625</v>
      </c>
      <c r="Y41" s="178">
        <f>IF(ISERROR(X41/V41),"-",X41/V41)</f>
        <v>1.288043623771736E-2</v>
      </c>
      <c r="Z41" s="205"/>
      <c r="AA41" s="242">
        <f>SUM(AA33:AA40)</f>
        <v>1228925</v>
      </c>
      <c r="AB41" s="109">
        <f>SUM(AB33:AB40)</f>
        <v>675896.2</v>
      </c>
      <c r="AC41" s="243">
        <f>IF(ISERROR(AB41/AA41),"-",AB41/AA41)</f>
        <v>0.54998978782269048</v>
      </c>
      <c r="AD41" s="163"/>
      <c r="AE41"/>
    </row>
    <row r="42" spans="1:31" x14ac:dyDescent="0.25">
      <c r="A42" s="150"/>
      <c r="B42" s="179"/>
      <c r="C42" s="81"/>
      <c r="D42" s="81"/>
      <c r="E42" s="180"/>
      <c r="F42" s="204"/>
      <c r="G42" s="211"/>
      <c r="H42" s="129"/>
      <c r="I42" s="129"/>
      <c r="J42" s="223"/>
      <c r="K42" s="204"/>
      <c r="L42" s="179"/>
      <c r="M42" s="81"/>
      <c r="N42" s="81"/>
      <c r="O42" s="180"/>
      <c r="P42" s="204"/>
      <c r="Q42" s="211"/>
      <c r="R42" s="129"/>
      <c r="S42" s="129"/>
      <c r="T42" s="223"/>
      <c r="U42" s="204"/>
      <c r="V42" s="179"/>
      <c r="W42" s="81"/>
      <c r="X42" s="81"/>
      <c r="Y42" s="239"/>
      <c r="Z42" s="204"/>
      <c r="AA42" s="179"/>
      <c r="AB42" s="81"/>
      <c r="AC42" s="239"/>
      <c r="AD42" s="162"/>
      <c r="AE42"/>
    </row>
    <row r="43" spans="1:31" ht="15.75" x14ac:dyDescent="0.25">
      <c r="A43" s="148" t="s">
        <v>46</v>
      </c>
      <c r="B43" s="189"/>
      <c r="C43" s="87"/>
      <c r="D43" s="87"/>
      <c r="E43" s="190"/>
      <c r="F43" s="203"/>
      <c r="G43" s="224"/>
      <c r="H43" s="134"/>
      <c r="I43" s="134"/>
      <c r="J43" s="225"/>
      <c r="K43" s="203"/>
      <c r="L43" s="189"/>
      <c r="M43" s="87"/>
      <c r="N43" s="87"/>
      <c r="O43" s="190"/>
      <c r="P43" s="203"/>
      <c r="Q43" s="224"/>
      <c r="R43" s="134"/>
      <c r="S43" s="134"/>
      <c r="T43" s="225"/>
      <c r="U43" s="203"/>
      <c r="V43" s="189"/>
      <c r="W43" s="87"/>
      <c r="X43" s="76"/>
      <c r="Y43" s="240"/>
      <c r="Z43" s="203"/>
      <c r="AA43" s="189"/>
      <c r="AB43" s="76"/>
      <c r="AC43" s="240"/>
      <c r="AD43" s="161"/>
      <c r="AE43" s="77"/>
    </row>
    <row r="44" spans="1:31" ht="15.75" x14ac:dyDescent="0.25">
      <c r="A44" s="145" t="s">
        <v>47</v>
      </c>
      <c r="B44" s="181">
        <f>712944+771647+389613-309520-4219-1480-56628</f>
        <v>1502357</v>
      </c>
      <c r="C44" s="76">
        <f>712944.86+900653.6+410487.32-432630-1479.69-672.05-56627.9+1357.54+510.76</f>
        <v>1534544.4400000002</v>
      </c>
      <c r="D44" s="76">
        <f t="shared" ref="D44:D63" si="16">B44-C44</f>
        <v>-32187.440000000177</v>
      </c>
      <c r="E44" s="175">
        <f t="shared" ref="E44:E63" si="17">IF(ISERROR(D44/B44),"-",D44/B44)</f>
        <v>-2.1424628101044011E-2</v>
      </c>
      <c r="F44" s="205"/>
      <c r="G44" s="213">
        <f>704862+340488+16662-243237</f>
        <v>818775</v>
      </c>
      <c r="H44" s="130">
        <f>704862.46+384828.42+48231.16-245938.66-40323</f>
        <v>851660.37999999977</v>
      </c>
      <c r="I44" s="130">
        <f t="shared" ref="I44:I63" si="18">G44-H44</f>
        <v>-32885.379999999772</v>
      </c>
      <c r="J44" s="220">
        <f t="shared" ref="J44:J63" si="19">IF(ISERROR(I44/G44),"-",I44/G44)</f>
        <v>-4.0164123232878109E-2</v>
      </c>
      <c r="K44" s="205"/>
      <c r="L44" s="181"/>
      <c r="M44" s="76"/>
      <c r="N44" s="76"/>
      <c r="O44" s="175"/>
      <c r="P44" s="205"/>
      <c r="Q44" s="213">
        <v>0</v>
      </c>
      <c r="R44" s="130">
        <v>0</v>
      </c>
      <c r="S44" s="130">
        <f t="shared" ref="S44:S63" si="20">Q44-R44</f>
        <v>0</v>
      </c>
      <c r="T44" s="220" t="str">
        <f t="shared" ref="T44:T63" si="21">IF(ISERROR(S44/Q44),"-",S44/Q44)</f>
        <v>-</v>
      </c>
      <c r="U44" s="205"/>
      <c r="V44" s="181">
        <f t="shared" ref="V44:V63" si="22">B44+G44+L44+Q44</f>
        <v>2321132</v>
      </c>
      <c r="W44" s="76">
        <f t="shared" ref="W44:W63" si="23">C44+H44+M44+R44</f>
        <v>2386204.8199999998</v>
      </c>
      <c r="X44" s="76">
        <f t="shared" ref="X44:X63" si="24">V44-W44</f>
        <v>-65072.819999999832</v>
      </c>
      <c r="Y44" s="175">
        <f t="shared" ref="Y44:Y75" si="25">IF(ISERROR(X44/V44),"-",X44/V44)</f>
        <v>-2.8034950188097804E-2</v>
      </c>
      <c r="Z44" s="205"/>
      <c r="AA44" s="181">
        <f>2636969+2182781+747922-1210358-56628-1480</f>
        <v>4299206</v>
      </c>
      <c r="AB44" s="76">
        <f t="shared" ref="AB44:AB63" si="26">AA44-W44</f>
        <v>1913001.1800000002</v>
      </c>
      <c r="AC44" s="175">
        <f t="shared" ref="AC44:AC73" si="27">IF(ISERROR(AB44/AA44),"-",AB44/AA44)</f>
        <v>0.44496615886747465</v>
      </c>
      <c r="AD44" s="163"/>
      <c r="AE44" s="88"/>
    </row>
    <row r="45" spans="1:31" ht="15.75" x14ac:dyDescent="0.25">
      <c r="A45" s="145" t="s">
        <v>48</v>
      </c>
      <c r="B45" s="181">
        <v>0</v>
      </c>
      <c r="C45" s="76">
        <v>0</v>
      </c>
      <c r="D45" s="76">
        <f t="shared" si="16"/>
        <v>0</v>
      </c>
      <c r="E45" s="175" t="str">
        <f t="shared" si="17"/>
        <v>-</v>
      </c>
      <c r="F45" s="207"/>
      <c r="G45" s="213">
        <v>55443</v>
      </c>
      <c r="H45" s="130">
        <v>0</v>
      </c>
      <c r="I45" s="130">
        <f t="shared" si="18"/>
        <v>55443</v>
      </c>
      <c r="J45" s="220">
        <f t="shared" si="19"/>
        <v>1</v>
      </c>
      <c r="K45" s="207"/>
      <c r="L45" s="181"/>
      <c r="M45" s="76"/>
      <c r="N45" s="76"/>
      <c r="O45" s="175"/>
      <c r="P45" s="207"/>
      <c r="Q45" s="213">
        <v>0</v>
      </c>
      <c r="R45" s="130">
        <v>0</v>
      </c>
      <c r="S45" s="130">
        <f t="shared" si="20"/>
        <v>0</v>
      </c>
      <c r="T45" s="220" t="str">
        <f t="shared" si="21"/>
        <v>-</v>
      </c>
      <c r="U45" s="207"/>
      <c r="V45" s="181">
        <f t="shared" si="22"/>
        <v>55443</v>
      </c>
      <c r="W45" s="76">
        <f t="shared" si="23"/>
        <v>0</v>
      </c>
      <c r="X45" s="76">
        <f t="shared" si="24"/>
        <v>55443</v>
      </c>
      <c r="Y45" s="175">
        <f t="shared" si="25"/>
        <v>1</v>
      </c>
      <c r="Z45" s="207"/>
      <c r="AA45" s="181">
        <v>73924</v>
      </c>
      <c r="AB45" s="76">
        <f t="shared" si="26"/>
        <v>73924</v>
      </c>
      <c r="AC45" s="175">
        <f t="shared" si="27"/>
        <v>1</v>
      </c>
      <c r="AD45" s="165"/>
      <c r="AE45" s="77"/>
    </row>
    <row r="46" spans="1:31" ht="15.75" x14ac:dyDescent="0.25">
      <c r="A46" s="145" t="s">
        <v>49</v>
      </c>
      <c r="B46" s="181">
        <v>0</v>
      </c>
      <c r="C46" s="76">
        <v>0</v>
      </c>
      <c r="D46" s="76">
        <f t="shared" si="16"/>
        <v>0</v>
      </c>
      <c r="E46" s="176" t="str">
        <f t="shared" si="17"/>
        <v>-</v>
      </c>
      <c r="F46" s="207"/>
      <c r="G46" s="213">
        <v>0</v>
      </c>
      <c r="H46" s="130">
        <v>0</v>
      </c>
      <c r="I46" s="130">
        <f t="shared" si="18"/>
        <v>0</v>
      </c>
      <c r="J46" s="214" t="str">
        <f t="shared" si="19"/>
        <v>-</v>
      </c>
      <c r="K46" s="207"/>
      <c r="L46" s="181"/>
      <c r="M46" s="76"/>
      <c r="N46" s="76"/>
      <c r="O46" s="176"/>
      <c r="P46" s="207"/>
      <c r="Q46" s="213">
        <v>0</v>
      </c>
      <c r="R46" s="130">
        <v>0</v>
      </c>
      <c r="S46" s="130">
        <f t="shared" si="20"/>
        <v>0</v>
      </c>
      <c r="T46" s="214" t="str">
        <f t="shared" si="21"/>
        <v>-</v>
      </c>
      <c r="U46" s="207"/>
      <c r="V46" s="181">
        <f t="shared" si="22"/>
        <v>0</v>
      </c>
      <c r="W46" s="76">
        <f t="shared" si="23"/>
        <v>0</v>
      </c>
      <c r="X46" s="76">
        <f t="shared" si="24"/>
        <v>0</v>
      </c>
      <c r="Y46" s="176" t="str">
        <f t="shared" si="25"/>
        <v>-</v>
      </c>
      <c r="Z46" s="207"/>
      <c r="AA46" s="181">
        <v>0</v>
      </c>
      <c r="AB46" s="76">
        <f t="shared" si="26"/>
        <v>0</v>
      </c>
      <c r="AC46" s="176" t="str">
        <f t="shared" si="27"/>
        <v>-</v>
      </c>
      <c r="AD46" s="165"/>
      <c r="AE46" s="77"/>
    </row>
    <row r="47" spans="1:31" ht="15.75" x14ac:dyDescent="0.25">
      <c r="A47" s="145" t="s">
        <v>50</v>
      </c>
      <c r="B47" s="181">
        <v>4684</v>
      </c>
      <c r="C47" s="76">
        <v>5181.38</v>
      </c>
      <c r="D47" s="76">
        <f t="shared" si="16"/>
        <v>-497.38000000000011</v>
      </c>
      <c r="E47" s="175">
        <f t="shared" si="17"/>
        <v>-0.10618701964133222</v>
      </c>
      <c r="F47" s="207"/>
      <c r="G47" s="213">
        <v>5240</v>
      </c>
      <c r="H47" s="130">
        <v>3528.94</v>
      </c>
      <c r="I47" s="130">
        <f t="shared" si="18"/>
        <v>1711.06</v>
      </c>
      <c r="J47" s="220">
        <f t="shared" si="19"/>
        <v>0.32653816793893131</v>
      </c>
      <c r="K47" s="207"/>
      <c r="L47" s="181"/>
      <c r="M47" s="76"/>
      <c r="N47" s="76"/>
      <c r="O47" s="175"/>
      <c r="P47" s="207"/>
      <c r="Q47" s="213">
        <v>0</v>
      </c>
      <c r="R47" s="130">
        <v>0</v>
      </c>
      <c r="S47" s="130">
        <f t="shared" si="20"/>
        <v>0</v>
      </c>
      <c r="T47" s="220" t="str">
        <f t="shared" si="21"/>
        <v>-</v>
      </c>
      <c r="U47" s="207"/>
      <c r="V47" s="181">
        <f t="shared" si="22"/>
        <v>9924</v>
      </c>
      <c r="W47" s="76">
        <f t="shared" si="23"/>
        <v>8710.32</v>
      </c>
      <c r="X47" s="76">
        <f t="shared" si="24"/>
        <v>1213.6800000000003</v>
      </c>
      <c r="Y47" s="175">
        <f t="shared" si="25"/>
        <v>0.12229746070133014</v>
      </c>
      <c r="Z47" s="207"/>
      <c r="AA47" s="181">
        <v>19284</v>
      </c>
      <c r="AB47" s="76">
        <f t="shared" si="26"/>
        <v>10573.68</v>
      </c>
      <c r="AC47" s="175">
        <f t="shared" si="27"/>
        <v>0.54831362787803362</v>
      </c>
      <c r="AD47" s="165"/>
      <c r="AE47" s="88"/>
    </row>
    <row r="48" spans="1:31" ht="15.75" x14ac:dyDescent="0.25">
      <c r="A48" s="145" t="s">
        <v>51</v>
      </c>
      <c r="B48" s="181">
        <v>0</v>
      </c>
      <c r="C48" s="76">
        <v>0</v>
      </c>
      <c r="D48" s="76">
        <f t="shared" si="16"/>
        <v>0</v>
      </c>
      <c r="E48" s="176" t="str">
        <f t="shared" si="17"/>
        <v>-</v>
      </c>
      <c r="F48" s="207"/>
      <c r="G48" s="213">
        <v>0</v>
      </c>
      <c r="H48" s="130">
        <v>0</v>
      </c>
      <c r="I48" s="130">
        <f t="shared" si="18"/>
        <v>0</v>
      </c>
      <c r="J48" s="214" t="str">
        <f t="shared" si="19"/>
        <v>-</v>
      </c>
      <c r="K48" s="207"/>
      <c r="L48" s="181"/>
      <c r="M48" s="76"/>
      <c r="N48" s="76"/>
      <c r="O48" s="176"/>
      <c r="P48" s="207"/>
      <c r="Q48" s="213">
        <v>0</v>
      </c>
      <c r="R48" s="130">
        <v>0</v>
      </c>
      <c r="S48" s="130">
        <f t="shared" si="20"/>
        <v>0</v>
      </c>
      <c r="T48" s="214" t="str">
        <f t="shared" si="21"/>
        <v>-</v>
      </c>
      <c r="U48" s="207"/>
      <c r="V48" s="181">
        <f t="shared" si="22"/>
        <v>0</v>
      </c>
      <c r="W48" s="76">
        <f t="shared" si="23"/>
        <v>0</v>
      </c>
      <c r="X48" s="76">
        <f t="shared" si="24"/>
        <v>0</v>
      </c>
      <c r="Y48" s="176" t="str">
        <f t="shared" si="25"/>
        <v>-</v>
      </c>
      <c r="Z48" s="207"/>
      <c r="AA48" s="181">
        <v>0</v>
      </c>
      <c r="AB48" s="76">
        <f t="shared" si="26"/>
        <v>0</v>
      </c>
      <c r="AC48" s="176" t="str">
        <f t="shared" si="27"/>
        <v>-</v>
      </c>
      <c r="AD48" s="165"/>
      <c r="AE48" s="77"/>
    </row>
    <row r="49" spans="1:31" ht="15.75" x14ac:dyDescent="0.25">
      <c r="A49" s="145" t="s">
        <v>52</v>
      </c>
      <c r="B49" s="181">
        <v>0</v>
      </c>
      <c r="C49" s="76">
        <v>0</v>
      </c>
      <c r="D49" s="76">
        <f t="shared" si="16"/>
        <v>0</v>
      </c>
      <c r="E49" s="175" t="str">
        <f t="shared" si="17"/>
        <v>-</v>
      </c>
      <c r="F49" s="205"/>
      <c r="G49" s="213">
        <v>0</v>
      </c>
      <c r="H49" s="130">
        <v>0</v>
      </c>
      <c r="I49" s="130">
        <f t="shared" si="18"/>
        <v>0</v>
      </c>
      <c r="J49" s="220" t="str">
        <f t="shared" si="19"/>
        <v>-</v>
      </c>
      <c r="K49" s="205"/>
      <c r="L49" s="181"/>
      <c r="M49" s="76"/>
      <c r="N49" s="76"/>
      <c r="O49" s="175"/>
      <c r="P49" s="205"/>
      <c r="Q49" s="213">
        <v>0</v>
      </c>
      <c r="R49" s="130">
        <v>0</v>
      </c>
      <c r="S49" s="130">
        <f t="shared" si="20"/>
        <v>0</v>
      </c>
      <c r="T49" s="220" t="str">
        <f t="shared" si="21"/>
        <v>-</v>
      </c>
      <c r="U49" s="205"/>
      <c r="V49" s="181">
        <f t="shared" si="22"/>
        <v>0</v>
      </c>
      <c r="W49" s="76">
        <f t="shared" si="23"/>
        <v>0</v>
      </c>
      <c r="X49" s="76">
        <f t="shared" si="24"/>
        <v>0</v>
      </c>
      <c r="Y49" s="175" t="str">
        <f t="shared" si="25"/>
        <v>-</v>
      </c>
      <c r="Z49" s="205"/>
      <c r="AA49" s="181">
        <v>0</v>
      </c>
      <c r="AB49" s="76">
        <f t="shared" si="26"/>
        <v>0</v>
      </c>
      <c r="AC49" s="175" t="str">
        <f t="shared" si="27"/>
        <v>-</v>
      </c>
      <c r="AD49" s="163"/>
      <c r="AE49" s="89"/>
    </row>
    <row r="50" spans="1:31" ht="15.75" x14ac:dyDescent="0.25">
      <c r="A50" s="145" t="s">
        <v>53</v>
      </c>
      <c r="B50" s="181">
        <v>0</v>
      </c>
      <c r="C50" s="76">
        <v>0</v>
      </c>
      <c r="D50" s="76">
        <f t="shared" si="16"/>
        <v>0</v>
      </c>
      <c r="E50" s="175" t="str">
        <f t="shared" si="17"/>
        <v>-</v>
      </c>
      <c r="F50" s="205"/>
      <c r="G50" s="213">
        <v>0</v>
      </c>
      <c r="H50" s="130">
        <v>0</v>
      </c>
      <c r="I50" s="130">
        <f t="shared" si="18"/>
        <v>0</v>
      </c>
      <c r="J50" s="220" t="str">
        <f t="shared" si="19"/>
        <v>-</v>
      </c>
      <c r="K50" s="205"/>
      <c r="L50" s="181"/>
      <c r="M50" s="76"/>
      <c r="N50" s="76"/>
      <c r="O50" s="175"/>
      <c r="P50" s="205"/>
      <c r="Q50" s="213">
        <v>0</v>
      </c>
      <c r="R50" s="130">
        <v>0</v>
      </c>
      <c r="S50" s="130">
        <f t="shared" si="20"/>
        <v>0</v>
      </c>
      <c r="T50" s="220" t="str">
        <f t="shared" si="21"/>
        <v>-</v>
      </c>
      <c r="U50" s="205"/>
      <c r="V50" s="181">
        <f t="shared" si="22"/>
        <v>0</v>
      </c>
      <c r="W50" s="76">
        <f t="shared" si="23"/>
        <v>0</v>
      </c>
      <c r="X50" s="76">
        <f t="shared" si="24"/>
        <v>0</v>
      </c>
      <c r="Y50" s="175" t="str">
        <f t="shared" si="25"/>
        <v>-</v>
      </c>
      <c r="Z50" s="205"/>
      <c r="AA50" s="181">
        <v>0</v>
      </c>
      <c r="AB50" s="76">
        <f t="shared" si="26"/>
        <v>0</v>
      </c>
      <c r="AC50" s="175" t="str">
        <f t="shared" si="27"/>
        <v>-</v>
      </c>
      <c r="AD50" s="163"/>
      <c r="AE50" s="90"/>
    </row>
    <row r="51" spans="1:31" ht="15.75" x14ac:dyDescent="0.25">
      <c r="A51" s="145" t="s">
        <v>54</v>
      </c>
      <c r="B51" s="181">
        <v>0</v>
      </c>
      <c r="C51" s="76">
        <v>0</v>
      </c>
      <c r="D51" s="76">
        <f t="shared" si="16"/>
        <v>0</v>
      </c>
      <c r="E51" s="175" t="str">
        <f t="shared" si="17"/>
        <v>-</v>
      </c>
      <c r="F51" s="207"/>
      <c r="G51" s="213">
        <v>0</v>
      </c>
      <c r="H51" s="130">
        <v>0</v>
      </c>
      <c r="I51" s="130">
        <f t="shared" si="18"/>
        <v>0</v>
      </c>
      <c r="J51" s="220" t="str">
        <f t="shared" si="19"/>
        <v>-</v>
      </c>
      <c r="K51" s="207"/>
      <c r="L51" s="181"/>
      <c r="M51" s="76"/>
      <c r="N51" s="76"/>
      <c r="O51" s="175"/>
      <c r="P51" s="207"/>
      <c r="Q51" s="213">
        <v>0</v>
      </c>
      <c r="R51" s="130">
        <v>0</v>
      </c>
      <c r="S51" s="130">
        <f t="shared" si="20"/>
        <v>0</v>
      </c>
      <c r="T51" s="220" t="str">
        <f t="shared" si="21"/>
        <v>-</v>
      </c>
      <c r="U51" s="207"/>
      <c r="V51" s="181">
        <f t="shared" si="22"/>
        <v>0</v>
      </c>
      <c r="W51" s="76">
        <f t="shared" si="23"/>
        <v>0</v>
      </c>
      <c r="X51" s="76">
        <f t="shared" si="24"/>
        <v>0</v>
      </c>
      <c r="Y51" s="175" t="str">
        <f t="shared" si="25"/>
        <v>-</v>
      </c>
      <c r="Z51" s="207"/>
      <c r="AA51" s="181">
        <v>0</v>
      </c>
      <c r="AB51" s="76">
        <f t="shared" si="26"/>
        <v>0</v>
      </c>
      <c r="AC51" s="175" t="str">
        <f t="shared" si="27"/>
        <v>-</v>
      </c>
      <c r="AD51" s="165"/>
      <c r="AE51" s="77"/>
    </row>
    <row r="52" spans="1:31" ht="15.75" x14ac:dyDescent="0.25">
      <c r="A52" s="145" t="s">
        <v>55</v>
      </c>
      <c r="B52" s="181">
        <v>0</v>
      </c>
      <c r="C52" s="76">
        <v>0</v>
      </c>
      <c r="D52" s="76">
        <f t="shared" si="16"/>
        <v>0</v>
      </c>
      <c r="E52" s="175" t="str">
        <f t="shared" si="17"/>
        <v>-</v>
      </c>
      <c r="F52" s="207"/>
      <c r="G52" s="213">
        <v>0</v>
      </c>
      <c r="H52" s="130">
        <v>0</v>
      </c>
      <c r="I52" s="130">
        <f t="shared" si="18"/>
        <v>0</v>
      </c>
      <c r="J52" s="220" t="str">
        <f t="shared" si="19"/>
        <v>-</v>
      </c>
      <c r="K52" s="207"/>
      <c r="L52" s="181"/>
      <c r="M52" s="76"/>
      <c r="N52" s="76"/>
      <c r="O52" s="175"/>
      <c r="P52" s="207"/>
      <c r="Q52" s="213">
        <v>0</v>
      </c>
      <c r="R52" s="130">
        <v>0</v>
      </c>
      <c r="S52" s="130">
        <f t="shared" si="20"/>
        <v>0</v>
      </c>
      <c r="T52" s="220" t="str">
        <f t="shared" si="21"/>
        <v>-</v>
      </c>
      <c r="U52" s="207"/>
      <c r="V52" s="181">
        <f t="shared" si="22"/>
        <v>0</v>
      </c>
      <c r="W52" s="76">
        <f t="shared" si="23"/>
        <v>0</v>
      </c>
      <c r="X52" s="76">
        <f t="shared" si="24"/>
        <v>0</v>
      </c>
      <c r="Y52" s="175" t="str">
        <f t="shared" si="25"/>
        <v>-</v>
      </c>
      <c r="Z52" s="207"/>
      <c r="AA52" s="181">
        <v>0</v>
      </c>
      <c r="AB52" s="76">
        <f t="shared" si="26"/>
        <v>0</v>
      </c>
      <c r="AC52" s="175" t="str">
        <f t="shared" si="27"/>
        <v>-</v>
      </c>
      <c r="AD52" s="165"/>
      <c r="AE52" s="78"/>
    </row>
    <row r="53" spans="1:31" ht="15.75" x14ac:dyDescent="0.25">
      <c r="A53" s="145" t="s">
        <v>56</v>
      </c>
      <c r="B53" s="181">
        <v>13637</v>
      </c>
      <c r="C53" s="76">
        <v>13842.04</v>
      </c>
      <c r="D53" s="76">
        <f t="shared" si="16"/>
        <v>-205.04000000000087</v>
      </c>
      <c r="E53" s="175">
        <f t="shared" si="17"/>
        <v>-1.5035565006966406E-2</v>
      </c>
      <c r="F53" s="207"/>
      <c r="G53" s="213">
        <v>18545</v>
      </c>
      <c r="H53" s="130">
        <v>18545.46</v>
      </c>
      <c r="I53" s="130">
        <f t="shared" si="18"/>
        <v>-0.45999999999912689</v>
      </c>
      <c r="J53" s="220">
        <f t="shared" si="19"/>
        <v>-2.480452952273534E-5</v>
      </c>
      <c r="K53" s="207"/>
      <c r="L53" s="181"/>
      <c r="M53" s="76"/>
      <c r="N53" s="76"/>
      <c r="O53" s="175"/>
      <c r="P53" s="207"/>
      <c r="Q53" s="213">
        <v>0</v>
      </c>
      <c r="R53" s="130">
        <v>0</v>
      </c>
      <c r="S53" s="130">
        <f t="shared" si="20"/>
        <v>0</v>
      </c>
      <c r="T53" s="220" t="str">
        <f t="shared" si="21"/>
        <v>-</v>
      </c>
      <c r="U53" s="207"/>
      <c r="V53" s="181">
        <f t="shared" si="22"/>
        <v>32182</v>
      </c>
      <c r="W53" s="76">
        <f t="shared" si="23"/>
        <v>32387.5</v>
      </c>
      <c r="X53" s="76">
        <f t="shared" si="24"/>
        <v>-205.5</v>
      </c>
      <c r="Y53" s="175">
        <f t="shared" si="25"/>
        <v>-6.3855571437449509E-3</v>
      </c>
      <c r="Z53" s="207"/>
      <c r="AA53" s="181">
        <v>66112</v>
      </c>
      <c r="AB53" s="76">
        <f t="shared" si="26"/>
        <v>33724.5</v>
      </c>
      <c r="AC53" s="175">
        <f t="shared" si="27"/>
        <v>0.51011162875121008</v>
      </c>
      <c r="AD53" s="165"/>
      <c r="AE53" s="78"/>
    </row>
    <row r="54" spans="1:31" ht="15.75" x14ac:dyDescent="0.25">
      <c r="A54" s="145" t="s">
        <v>57</v>
      </c>
      <c r="B54" s="181">
        <v>0</v>
      </c>
      <c r="C54" s="76">
        <v>0</v>
      </c>
      <c r="D54" s="76">
        <f t="shared" si="16"/>
        <v>0</v>
      </c>
      <c r="E54" s="176" t="str">
        <f t="shared" si="17"/>
        <v>-</v>
      </c>
      <c r="F54" s="207"/>
      <c r="G54" s="213">
        <v>0</v>
      </c>
      <c r="H54" s="130">
        <v>0</v>
      </c>
      <c r="I54" s="130">
        <f t="shared" si="18"/>
        <v>0</v>
      </c>
      <c r="J54" s="214" t="str">
        <f t="shared" si="19"/>
        <v>-</v>
      </c>
      <c r="K54" s="207"/>
      <c r="L54" s="181"/>
      <c r="M54" s="76"/>
      <c r="N54" s="76"/>
      <c r="O54" s="176"/>
      <c r="P54" s="207"/>
      <c r="Q54" s="213">
        <v>0</v>
      </c>
      <c r="R54" s="130">
        <v>0</v>
      </c>
      <c r="S54" s="130">
        <f t="shared" si="20"/>
        <v>0</v>
      </c>
      <c r="T54" s="214" t="str">
        <f t="shared" si="21"/>
        <v>-</v>
      </c>
      <c r="U54" s="207"/>
      <c r="V54" s="181">
        <f t="shared" si="22"/>
        <v>0</v>
      </c>
      <c r="W54" s="76">
        <f t="shared" si="23"/>
        <v>0</v>
      </c>
      <c r="X54" s="76">
        <f t="shared" si="24"/>
        <v>0</v>
      </c>
      <c r="Y54" s="176" t="str">
        <f t="shared" si="25"/>
        <v>-</v>
      </c>
      <c r="Z54" s="207"/>
      <c r="AA54" s="181">
        <v>0</v>
      </c>
      <c r="AB54" s="76">
        <f t="shared" si="26"/>
        <v>0</v>
      </c>
      <c r="AC54" s="176" t="str">
        <f t="shared" si="27"/>
        <v>-</v>
      </c>
      <c r="AD54" s="165"/>
      <c r="AE54" s="77"/>
    </row>
    <row r="55" spans="1:31" ht="15.75" x14ac:dyDescent="0.25">
      <c r="A55" s="145" t="s">
        <v>58</v>
      </c>
      <c r="B55" s="181">
        <v>0</v>
      </c>
      <c r="C55" s="76">
        <v>0</v>
      </c>
      <c r="D55" s="76">
        <f t="shared" si="16"/>
        <v>0</v>
      </c>
      <c r="E55" s="176" t="str">
        <f t="shared" si="17"/>
        <v>-</v>
      </c>
      <c r="F55" s="207"/>
      <c r="G55" s="213">
        <v>0</v>
      </c>
      <c r="H55" s="130">
        <v>0</v>
      </c>
      <c r="I55" s="130">
        <f t="shared" si="18"/>
        <v>0</v>
      </c>
      <c r="J55" s="214" t="str">
        <f t="shared" si="19"/>
        <v>-</v>
      </c>
      <c r="K55" s="207"/>
      <c r="L55" s="181"/>
      <c r="M55" s="76"/>
      <c r="N55" s="76"/>
      <c r="O55" s="176"/>
      <c r="P55" s="207"/>
      <c r="Q55" s="213">
        <v>0</v>
      </c>
      <c r="R55" s="130">
        <v>0</v>
      </c>
      <c r="S55" s="130">
        <f t="shared" si="20"/>
        <v>0</v>
      </c>
      <c r="T55" s="214" t="str">
        <f t="shared" si="21"/>
        <v>-</v>
      </c>
      <c r="U55" s="207"/>
      <c r="V55" s="181">
        <f t="shared" si="22"/>
        <v>0</v>
      </c>
      <c r="W55" s="76">
        <f t="shared" si="23"/>
        <v>0</v>
      </c>
      <c r="X55" s="76">
        <f t="shared" si="24"/>
        <v>0</v>
      </c>
      <c r="Y55" s="176" t="str">
        <f t="shared" si="25"/>
        <v>-</v>
      </c>
      <c r="Z55" s="207"/>
      <c r="AA55" s="181">
        <v>0</v>
      </c>
      <c r="AB55" s="76">
        <f t="shared" si="26"/>
        <v>0</v>
      </c>
      <c r="AC55" s="176" t="str">
        <f t="shared" si="27"/>
        <v>-</v>
      </c>
      <c r="AD55" s="165"/>
      <c r="AE55" s="77"/>
    </row>
    <row r="56" spans="1:31" ht="15.75" x14ac:dyDescent="0.25">
      <c r="A56" s="145" t="s">
        <v>59</v>
      </c>
      <c r="B56" s="181">
        <v>6882</v>
      </c>
      <c r="C56" s="76">
        <v>6881.98</v>
      </c>
      <c r="D56" s="76">
        <f t="shared" si="16"/>
        <v>2.0000000000436557E-2</v>
      </c>
      <c r="E56" s="175">
        <f t="shared" si="17"/>
        <v>2.9061319384534375E-6</v>
      </c>
      <c r="F56" s="207"/>
      <c r="G56" s="213">
        <v>6232</v>
      </c>
      <c r="H56" s="130">
        <v>6614.85</v>
      </c>
      <c r="I56" s="130">
        <f t="shared" si="18"/>
        <v>-382.85000000000036</v>
      </c>
      <c r="J56" s="220">
        <f t="shared" si="19"/>
        <v>-6.1432926829268354E-2</v>
      </c>
      <c r="K56" s="207"/>
      <c r="L56" s="181"/>
      <c r="M56" s="76"/>
      <c r="N56" s="76"/>
      <c r="O56" s="175"/>
      <c r="P56" s="207"/>
      <c r="Q56" s="213">
        <v>0</v>
      </c>
      <c r="R56" s="130">
        <v>0</v>
      </c>
      <c r="S56" s="130">
        <f t="shared" si="20"/>
        <v>0</v>
      </c>
      <c r="T56" s="220" t="str">
        <f t="shared" si="21"/>
        <v>-</v>
      </c>
      <c r="U56" s="207"/>
      <c r="V56" s="181">
        <f t="shared" si="22"/>
        <v>13114</v>
      </c>
      <c r="W56" s="76">
        <f t="shared" si="23"/>
        <v>13496.83</v>
      </c>
      <c r="X56" s="76">
        <f t="shared" si="24"/>
        <v>-382.82999999999993</v>
      </c>
      <c r="Y56" s="175">
        <f t="shared" si="25"/>
        <v>-2.9192466066798834E-2</v>
      </c>
      <c r="Z56" s="207"/>
      <c r="AA56" s="181">
        <v>28114</v>
      </c>
      <c r="AB56" s="76">
        <f t="shared" si="26"/>
        <v>14617.17</v>
      </c>
      <c r="AC56" s="175">
        <f t="shared" si="27"/>
        <v>0.51992494842427261</v>
      </c>
      <c r="AD56" s="165"/>
      <c r="AE56" s="78"/>
    </row>
    <row r="57" spans="1:31" ht="15.75" x14ac:dyDescent="0.25">
      <c r="A57" s="145" t="s">
        <v>60</v>
      </c>
      <c r="B57" s="181">
        <v>0</v>
      </c>
      <c r="C57" s="76">
        <v>0</v>
      </c>
      <c r="D57" s="76">
        <f t="shared" si="16"/>
        <v>0</v>
      </c>
      <c r="E57" s="175" t="str">
        <f t="shared" si="17"/>
        <v>-</v>
      </c>
      <c r="F57" s="207"/>
      <c r="G57" s="213">
        <v>0</v>
      </c>
      <c r="H57" s="130">
        <v>0</v>
      </c>
      <c r="I57" s="130">
        <f t="shared" si="18"/>
        <v>0</v>
      </c>
      <c r="J57" s="220" t="str">
        <f t="shared" si="19"/>
        <v>-</v>
      </c>
      <c r="K57" s="207"/>
      <c r="L57" s="181"/>
      <c r="M57" s="76"/>
      <c r="N57" s="76"/>
      <c r="O57" s="175"/>
      <c r="P57" s="207"/>
      <c r="Q57" s="213">
        <v>0</v>
      </c>
      <c r="R57" s="130">
        <v>0</v>
      </c>
      <c r="S57" s="130">
        <f t="shared" si="20"/>
        <v>0</v>
      </c>
      <c r="T57" s="220" t="str">
        <f t="shared" si="21"/>
        <v>-</v>
      </c>
      <c r="U57" s="207"/>
      <c r="V57" s="181">
        <f t="shared" si="22"/>
        <v>0</v>
      </c>
      <c r="W57" s="76">
        <f t="shared" si="23"/>
        <v>0</v>
      </c>
      <c r="X57" s="76">
        <f t="shared" si="24"/>
        <v>0</v>
      </c>
      <c r="Y57" s="175" t="str">
        <f t="shared" si="25"/>
        <v>-</v>
      </c>
      <c r="Z57" s="207"/>
      <c r="AA57" s="181">
        <v>0</v>
      </c>
      <c r="AB57" s="76">
        <f t="shared" si="26"/>
        <v>0</v>
      </c>
      <c r="AC57" s="175" t="str">
        <f t="shared" si="27"/>
        <v>-</v>
      </c>
      <c r="AD57" s="165"/>
      <c r="AE57" s="78"/>
    </row>
    <row r="58" spans="1:31" ht="15.75" x14ac:dyDescent="0.25">
      <c r="A58" s="145" t="s">
        <v>61</v>
      </c>
      <c r="B58" s="181">
        <v>0</v>
      </c>
      <c r="C58" s="76">
        <v>0</v>
      </c>
      <c r="D58" s="76">
        <f t="shared" si="16"/>
        <v>0</v>
      </c>
      <c r="E58" s="175" t="str">
        <f t="shared" si="17"/>
        <v>-</v>
      </c>
      <c r="F58" s="205"/>
      <c r="G58" s="213">
        <v>0</v>
      </c>
      <c r="H58" s="130">
        <v>0</v>
      </c>
      <c r="I58" s="130">
        <f t="shared" si="18"/>
        <v>0</v>
      </c>
      <c r="J58" s="220" t="str">
        <f t="shared" si="19"/>
        <v>-</v>
      </c>
      <c r="K58" s="205"/>
      <c r="L58" s="181"/>
      <c r="M58" s="76"/>
      <c r="N58" s="76"/>
      <c r="O58" s="175"/>
      <c r="P58" s="205"/>
      <c r="Q58" s="213">
        <v>0</v>
      </c>
      <c r="R58" s="130">
        <v>0</v>
      </c>
      <c r="S58" s="130">
        <f t="shared" si="20"/>
        <v>0</v>
      </c>
      <c r="T58" s="220" t="str">
        <f t="shared" si="21"/>
        <v>-</v>
      </c>
      <c r="U58" s="205"/>
      <c r="V58" s="181">
        <f t="shared" si="22"/>
        <v>0</v>
      </c>
      <c r="W58" s="76">
        <f t="shared" si="23"/>
        <v>0</v>
      </c>
      <c r="X58" s="76">
        <f t="shared" si="24"/>
        <v>0</v>
      </c>
      <c r="Y58" s="175" t="str">
        <f t="shared" si="25"/>
        <v>-</v>
      </c>
      <c r="Z58" s="205"/>
      <c r="AA58" s="181">
        <v>0</v>
      </c>
      <c r="AB58" s="76">
        <f t="shared" si="26"/>
        <v>0</v>
      </c>
      <c r="AC58" s="175" t="str">
        <f t="shared" si="27"/>
        <v>-</v>
      </c>
      <c r="AD58" s="163"/>
      <c r="AE58" s="78"/>
    </row>
    <row r="59" spans="1:31" ht="15.75" x14ac:dyDescent="0.25">
      <c r="A59" s="145" t="s">
        <v>62</v>
      </c>
      <c r="B59" s="181">
        <v>0</v>
      </c>
      <c r="C59" s="76">
        <v>0</v>
      </c>
      <c r="D59" s="76">
        <f t="shared" si="16"/>
        <v>0</v>
      </c>
      <c r="E59" s="175" t="str">
        <f t="shared" si="17"/>
        <v>-</v>
      </c>
      <c r="F59" s="205"/>
      <c r="G59" s="213">
        <v>0</v>
      </c>
      <c r="H59" s="130">
        <v>0</v>
      </c>
      <c r="I59" s="130">
        <f t="shared" si="18"/>
        <v>0</v>
      </c>
      <c r="J59" s="220" t="str">
        <f t="shared" si="19"/>
        <v>-</v>
      </c>
      <c r="K59" s="205"/>
      <c r="L59" s="181"/>
      <c r="M59" s="76"/>
      <c r="N59" s="76"/>
      <c r="O59" s="175"/>
      <c r="P59" s="205"/>
      <c r="Q59" s="213">
        <v>0</v>
      </c>
      <c r="R59" s="130">
        <v>0</v>
      </c>
      <c r="S59" s="130">
        <f t="shared" si="20"/>
        <v>0</v>
      </c>
      <c r="T59" s="220" t="str">
        <f t="shared" si="21"/>
        <v>-</v>
      </c>
      <c r="U59" s="205"/>
      <c r="V59" s="181">
        <f t="shared" si="22"/>
        <v>0</v>
      </c>
      <c r="W59" s="76">
        <f t="shared" si="23"/>
        <v>0</v>
      </c>
      <c r="X59" s="76">
        <f t="shared" si="24"/>
        <v>0</v>
      </c>
      <c r="Y59" s="175" t="str">
        <f t="shared" si="25"/>
        <v>-</v>
      </c>
      <c r="Z59" s="205"/>
      <c r="AA59" s="181">
        <v>0</v>
      </c>
      <c r="AB59" s="76">
        <f t="shared" si="26"/>
        <v>0</v>
      </c>
      <c r="AC59" s="175" t="str">
        <f t="shared" si="27"/>
        <v>-</v>
      </c>
      <c r="AD59" s="163"/>
      <c r="AE59" s="78"/>
    </row>
    <row r="60" spans="1:31" ht="15.75" x14ac:dyDescent="0.25">
      <c r="A60" s="145" t="s">
        <v>63</v>
      </c>
      <c r="B60" s="181">
        <f>5686+381+1293</f>
        <v>7360</v>
      </c>
      <c r="C60" s="76">
        <f>5687.22+380.84+1292.71</f>
        <v>7360.77</v>
      </c>
      <c r="D60" s="76">
        <f t="shared" si="16"/>
        <v>-0.77000000000043656</v>
      </c>
      <c r="E60" s="175">
        <f t="shared" si="17"/>
        <v>-1.0461956521745062E-4</v>
      </c>
      <c r="F60" s="205"/>
      <c r="G60" s="213">
        <f>5686+220+990</f>
        <v>6896</v>
      </c>
      <c r="H60" s="130">
        <f>5860.28+394.79+1043.47</f>
        <v>7298.54</v>
      </c>
      <c r="I60" s="130">
        <f t="shared" si="18"/>
        <v>-402.53999999999996</v>
      </c>
      <c r="J60" s="220">
        <f t="shared" si="19"/>
        <v>-5.8372969837587003E-2</v>
      </c>
      <c r="K60" s="205"/>
      <c r="L60" s="181"/>
      <c r="M60" s="76"/>
      <c r="N60" s="76"/>
      <c r="O60" s="175"/>
      <c r="P60" s="205"/>
      <c r="Q60" s="213">
        <v>0</v>
      </c>
      <c r="R60" s="130">
        <v>0</v>
      </c>
      <c r="S60" s="130">
        <f t="shared" si="20"/>
        <v>0</v>
      </c>
      <c r="T60" s="220" t="str">
        <f t="shared" si="21"/>
        <v>-</v>
      </c>
      <c r="U60" s="205"/>
      <c r="V60" s="181">
        <f t="shared" si="22"/>
        <v>14256</v>
      </c>
      <c r="W60" s="76">
        <f t="shared" si="23"/>
        <v>14659.310000000001</v>
      </c>
      <c r="X60" s="76">
        <f t="shared" si="24"/>
        <v>-403.31000000000131</v>
      </c>
      <c r="Y60" s="175">
        <f t="shared" si="25"/>
        <v>-2.8290544332211089E-2</v>
      </c>
      <c r="Z60" s="205"/>
      <c r="AA60" s="181">
        <f>21775+6601+7978</f>
        <v>36354</v>
      </c>
      <c r="AB60" s="76">
        <f t="shared" si="26"/>
        <v>21694.69</v>
      </c>
      <c r="AC60" s="175">
        <f t="shared" si="27"/>
        <v>0.59676211696099468</v>
      </c>
      <c r="AD60" s="163"/>
      <c r="AE60" s="78"/>
    </row>
    <row r="61" spans="1:31" ht="15.75" x14ac:dyDescent="0.25">
      <c r="A61" s="145" t="s">
        <v>64</v>
      </c>
      <c r="B61" s="181">
        <f>201494-4684-6741-5686-381-141131-8958-1293</f>
        <v>32620</v>
      </c>
      <c r="C61" s="76">
        <f>203707.5-5181.38-6740.54-5687.22-380.84-141130.5-8957.64-1292.71</f>
        <v>34336.669999999991</v>
      </c>
      <c r="D61" s="76">
        <f t="shared" si="16"/>
        <v>-1716.669999999991</v>
      </c>
      <c r="E61" s="175">
        <f t="shared" si="17"/>
        <v>-5.2626302881667412E-2</v>
      </c>
      <c r="F61" s="205"/>
      <c r="G61" s="213">
        <f>239446-142225-5240-6197-5686-220-6202-990-55443</f>
        <v>17243</v>
      </c>
      <c r="H61" s="130">
        <f>185396.09-142224.6-3528.94-6197.05-5860.28-394.79-7549.76-1043.47</f>
        <v>18597.199999999983</v>
      </c>
      <c r="I61" s="130">
        <f t="shared" si="18"/>
        <v>-1354.1999999999825</v>
      </c>
      <c r="J61" s="220">
        <f t="shared" si="19"/>
        <v>-7.8536217595545008E-2</v>
      </c>
      <c r="K61" s="205"/>
      <c r="L61" s="181"/>
      <c r="M61" s="76"/>
      <c r="N61" s="76"/>
      <c r="O61" s="175"/>
      <c r="P61" s="205"/>
      <c r="Q61" s="213">
        <v>0</v>
      </c>
      <c r="R61" s="130">
        <v>0</v>
      </c>
      <c r="S61" s="130">
        <f t="shared" si="20"/>
        <v>0</v>
      </c>
      <c r="T61" s="220" t="str">
        <f t="shared" si="21"/>
        <v>-</v>
      </c>
      <c r="U61" s="205"/>
      <c r="V61" s="181">
        <f t="shared" si="22"/>
        <v>49863</v>
      </c>
      <c r="W61" s="76">
        <f t="shared" si="23"/>
        <v>52933.869999999974</v>
      </c>
      <c r="X61" s="76">
        <f t="shared" si="24"/>
        <v>-3070.8699999999735</v>
      </c>
      <c r="Y61" s="175">
        <f t="shared" si="25"/>
        <v>-6.1586146040149482E-2</v>
      </c>
      <c r="Z61" s="205"/>
      <c r="AA61" s="181">
        <f>843926-19284-30488-21775-6601-563600-33160-7978</f>
        <v>161040</v>
      </c>
      <c r="AB61" s="76">
        <f t="shared" si="26"/>
        <v>108106.13000000003</v>
      </c>
      <c r="AC61" s="175">
        <f t="shared" si="27"/>
        <v>0.67129986338797831</v>
      </c>
      <c r="AD61" s="163"/>
      <c r="AE61" s="78"/>
    </row>
    <row r="62" spans="1:31" ht="15.75" x14ac:dyDescent="0.25">
      <c r="A62" s="145" t="s">
        <v>65</v>
      </c>
      <c r="B62" s="181">
        <v>309520</v>
      </c>
      <c r="C62" s="76">
        <v>432630</v>
      </c>
      <c r="D62" s="76">
        <f t="shared" si="16"/>
        <v>-123110</v>
      </c>
      <c r="E62" s="175">
        <f t="shared" si="17"/>
        <v>-0.39774489532178858</v>
      </c>
      <c r="F62" s="207"/>
      <c r="G62" s="213">
        <v>243237</v>
      </c>
      <c r="H62" s="130">
        <f>1818.84+245939</f>
        <v>247757.84</v>
      </c>
      <c r="I62" s="130">
        <f t="shared" si="18"/>
        <v>-4520.8399999999965</v>
      </c>
      <c r="J62" s="220">
        <f t="shared" si="19"/>
        <v>-1.8586152600138944E-2</v>
      </c>
      <c r="K62" s="207"/>
      <c r="L62" s="181"/>
      <c r="M62" s="76"/>
      <c r="N62" s="76"/>
      <c r="O62" s="175"/>
      <c r="P62" s="207"/>
      <c r="Q62" s="213">
        <v>0</v>
      </c>
      <c r="R62" s="130">
        <v>0</v>
      </c>
      <c r="S62" s="130">
        <f t="shared" si="20"/>
        <v>0</v>
      </c>
      <c r="T62" s="220" t="str">
        <f t="shared" si="21"/>
        <v>-</v>
      </c>
      <c r="U62" s="207"/>
      <c r="V62" s="181">
        <f t="shared" si="22"/>
        <v>552757</v>
      </c>
      <c r="W62" s="76">
        <f t="shared" si="23"/>
        <v>680387.84</v>
      </c>
      <c r="X62" s="76">
        <f t="shared" si="24"/>
        <v>-127630.83999999997</v>
      </c>
      <c r="Y62" s="175">
        <f t="shared" si="25"/>
        <v>-0.23089864081323253</v>
      </c>
      <c r="Z62" s="207"/>
      <c r="AA62" s="181">
        <v>0</v>
      </c>
      <c r="AB62" s="76">
        <f t="shared" si="26"/>
        <v>-680387.84</v>
      </c>
      <c r="AC62" s="175" t="str">
        <f t="shared" si="27"/>
        <v>-</v>
      </c>
      <c r="AD62" s="165"/>
      <c r="AE62" s="78"/>
    </row>
    <row r="63" spans="1:31" ht="15.75" x14ac:dyDescent="0.25">
      <c r="A63" s="145" t="s">
        <v>66</v>
      </c>
      <c r="B63" s="181">
        <v>0</v>
      </c>
      <c r="C63" s="76">
        <v>0</v>
      </c>
      <c r="D63" s="76">
        <f t="shared" si="16"/>
        <v>0</v>
      </c>
      <c r="E63" s="176" t="str">
        <f t="shared" si="17"/>
        <v>-</v>
      </c>
      <c r="F63" s="207"/>
      <c r="G63" s="213">
        <v>0</v>
      </c>
      <c r="H63" s="130">
        <v>0</v>
      </c>
      <c r="I63" s="130">
        <f t="shared" si="18"/>
        <v>0</v>
      </c>
      <c r="J63" s="214" t="str">
        <f t="shared" si="19"/>
        <v>-</v>
      </c>
      <c r="K63" s="207"/>
      <c r="L63" s="181"/>
      <c r="M63" s="76"/>
      <c r="N63" s="76"/>
      <c r="O63" s="176"/>
      <c r="P63" s="207"/>
      <c r="Q63" s="213">
        <v>0</v>
      </c>
      <c r="R63" s="130">
        <v>0</v>
      </c>
      <c r="S63" s="130">
        <f t="shared" si="20"/>
        <v>0</v>
      </c>
      <c r="T63" s="214" t="str">
        <f t="shared" si="21"/>
        <v>-</v>
      </c>
      <c r="U63" s="207"/>
      <c r="V63" s="181">
        <f t="shared" si="22"/>
        <v>0</v>
      </c>
      <c r="W63" s="76">
        <f t="shared" si="23"/>
        <v>0</v>
      </c>
      <c r="X63" s="76">
        <f t="shared" si="24"/>
        <v>0</v>
      </c>
      <c r="Y63" s="175" t="str">
        <f t="shared" si="25"/>
        <v>-</v>
      </c>
      <c r="Z63" s="207"/>
      <c r="AA63" s="181">
        <v>0</v>
      </c>
      <c r="AB63" s="76">
        <f t="shared" si="26"/>
        <v>0</v>
      </c>
      <c r="AC63" s="175" t="str">
        <f t="shared" si="27"/>
        <v>-</v>
      </c>
      <c r="AD63" s="165"/>
      <c r="AE63" s="77"/>
    </row>
    <row r="64" spans="1:31" ht="15.75" x14ac:dyDescent="0.25">
      <c r="A64" s="145" t="s">
        <v>67</v>
      </c>
      <c r="B64" s="181"/>
      <c r="C64" s="76"/>
      <c r="D64" s="76"/>
      <c r="E64" s="176"/>
      <c r="F64" s="207"/>
      <c r="G64" s="213"/>
      <c r="H64" s="130"/>
      <c r="I64" s="130"/>
      <c r="J64" s="214"/>
      <c r="K64" s="207"/>
      <c r="L64" s="181"/>
      <c r="M64" s="76"/>
      <c r="N64" s="76"/>
      <c r="O64" s="176"/>
      <c r="P64" s="207"/>
      <c r="Q64" s="213"/>
      <c r="R64" s="130"/>
      <c r="S64" s="130"/>
      <c r="T64" s="214"/>
      <c r="U64" s="207"/>
      <c r="V64" s="181"/>
      <c r="W64" s="76"/>
      <c r="X64" s="76"/>
      <c r="Y64" s="175" t="str">
        <f t="shared" si="25"/>
        <v>-</v>
      </c>
      <c r="Z64" s="207"/>
      <c r="AA64" s="181"/>
      <c r="AB64" s="76"/>
      <c r="AC64" s="175" t="str">
        <f t="shared" si="27"/>
        <v>-</v>
      </c>
      <c r="AD64" s="165"/>
      <c r="AE64" s="77"/>
    </row>
    <row r="65" spans="1:31" s="276" customFormat="1" ht="15.75" x14ac:dyDescent="0.25">
      <c r="A65" s="270" t="s">
        <v>68</v>
      </c>
      <c r="B65" s="281">
        <f>141131+30840</f>
        <v>171971</v>
      </c>
      <c r="C65" s="280">
        <f>141130.5+30839</f>
        <v>171969.5</v>
      </c>
      <c r="D65" s="280">
        <f>B65-C65</f>
        <v>1.5</v>
      </c>
      <c r="E65" s="279">
        <f>IF(ISERROR(D65/B65),"-",D65/B65)</f>
        <v>8.7224008699141139E-6</v>
      </c>
      <c r="F65" s="282"/>
      <c r="G65" s="281">
        <f>142225+30840</f>
        <v>173065</v>
      </c>
      <c r="H65" s="280">
        <f>142224.6+30839</f>
        <v>173063.6</v>
      </c>
      <c r="I65" s="280">
        <f>G65-H65</f>
        <v>1.3999999999941792</v>
      </c>
      <c r="J65" s="279">
        <f>IF(ISERROR(I65/G65),"-",I65/G65)</f>
        <v>8.0894461618130712E-6</v>
      </c>
      <c r="K65" s="282"/>
      <c r="L65" s="281"/>
      <c r="M65" s="280"/>
      <c r="N65" s="280"/>
      <c r="O65" s="279"/>
      <c r="P65" s="282"/>
      <c r="Q65" s="281">
        <v>0</v>
      </c>
      <c r="R65" s="280">
        <v>0</v>
      </c>
      <c r="S65" s="280">
        <f>Q65-R65</f>
        <v>0</v>
      </c>
      <c r="T65" s="279" t="str">
        <f>IF(ISERROR(S65/Q65),"-",S65/Q65)</f>
        <v>-</v>
      </c>
      <c r="U65" s="282"/>
      <c r="V65" s="281">
        <f>B65+G65+L65+Q65</f>
        <v>345036</v>
      </c>
      <c r="W65" s="280">
        <f>C65+H65+M65+R65</f>
        <v>345033.1</v>
      </c>
      <c r="X65" s="280">
        <f>V65-W65</f>
        <v>2.9000000000232831</v>
      </c>
      <c r="Y65" s="175">
        <f t="shared" si="25"/>
        <v>8.4049200663794017E-6</v>
      </c>
      <c r="Z65" s="282"/>
      <c r="AA65" s="281">
        <f>563600+50788</f>
        <v>614388</v>
      </c>
      <c r="AB65" s="280">
        <f>AA65-W65</f>
        <v>269354.90000000002</v>
      </c>
      <c r="AC65" s="175">
        <f t="shared" si="27"/>
        <v>0.43841172028099512</v>
      </c>
      <c r="AD65" s="278"/>
      <c r="AE65" s="277"/>
    </row>
    <row r="66" spans="1:31" ht="15.75" x14ac:dyDescent="0.25">
      <c r="A66" s="145" t="s">
        <v>69</v>
      </c>
      <c r="B66" s="181"/>
      <c r="C66" s="76"/>
      <c r="D66" s="76"/>
      <c r="E66" s="176"/>
      <c r="F66" s="205"/>
      <c r="G66" s="213"/>
      <c r="H66" s="130"/>
      <c r="I66" s="130"/>
      <c r="J66" s="214"/>
      <c r="K66" s="205"/>
      <c r="L66" s="181"/>
      <c r="M66" s="76"/>
      <c r="N66" s="76"/>
      <c r="O66" s="176"/>
      <c r="P66" s="205"/>
      <c r="Q66" s="213"/>
      <c r="R66" s="130"/>
      <c r="S66" s="130"/>
      <c r="T66" s="214"/>
      <c r="U66" s="205"/>
      <c r="V66" s="181"/>
      <c r="W66" s="76"/>
      <c r="X66" s="76"/>
      <c r="Y66" s="175" t="str">
        <f t="shared" si="25"/>
        <v>-</v>
      </c>
      <c r="Z66" s="205"/>
      <c r="AA66" s="181"/>
      <c r="AB66" s="76"/>
      <c r="AC66" s="175" t="str">
        <f t="shared" si="27"/>
        <v>-</v>
      </c>
      <c r="AD66" s="163"/>
      <c r="AE66" s="77"/>
    </row>
    <row r="67" spans="1:31" ht="15.75" x14ac:dyDescent="0.25">
      <c r="A67" s="145" t="s">
        <v>70</v>
      </c>
      <c r="B67" s="181">
        <v>0</v>
      </c>
      <c r="C67" s="76">
        <v>0</v>
      </c>
      <c r="D67" s="76">
        <f>B67-C67</f>
        <v>0</v>
      </c>
      <c r="E67" s="176" t="str">
        <f>IF(ISERROR(D67/B67),"-",D67/B67)</f>
        <v>-</v>
      </c>
      <c r="F67" s="205"/>
      <c r="G67" s="213">
        <v>0</v>
      </c>
      <c r="H67" s="130">
        <v>0</v>
      </c>
      <c r="I67" s="130">
        <f>G67-H67</f>
        <v>0</v>
      </c>
      <c r="J67" s="214" t="str">
        <f>IF(ISERROR(I67/G67),"-",I67/G67)</f>
        <v>-</v>
      </c>
      <c r="K67" s="205"/>
      <c r="L67" s="181"/>
      <c r="M67" s="76"/>
      <c r="N67" s="76"/>
      <c r="O67" s="176"/>
      <c r="P67" s="205"/>
      <c r="Q67" s="213">
        <v>0</v>
      </c>
      <c r="R67" s="130">
        <v>0</v>
      </c>
      <c r="S67" s="130">
        <f>Q67-R67</f>
        <v>0</v>
      </c>
      <c r="T67" s="214" t="str">
        <f>IF(ISERROR(S67/Q67),"-",S67/Q67)</f>
        <v>-</v>
      </c>
      <c r="U67" s="205"/>
      <c r="V67" s="181">
        <f t="shared" ref="V67:W69" si="28">B67+G67+L67+Q67</f>
        <v>0</v>
      </c>
      <c r="W67" s="76">
        <f t="shared" si="28"/>
        <v>0</v>
      </c>
      <c r="X67" s="76">
        <f>V67-W67</f>
        <v>0</v>
      </c>
      <c r="Y67" s="175" t="str">
        <f t="shared" si="25"/>
        <v>-</v>
      </c>
      <c r="Z67" s="205"/>
      <c r="AA67" s="181">
        <v>0</v>
      </c>
      <c r="AB67" s="76">
        <f>AA67-W67</f>
        <v>0</v>
      </c>
      <c r="AC67" s="175" t="str">
        <f t="shared" si="27"/>
        <v>-</v>
      </c>
      <c r="AD67" s="163"/>
      <c r="AE67" s="77"/>
    </row>
    <row r="68" spans="1:31" ht="15.6" customHeight="1" x14ac:dyDescent="0.25">
      <c r="A68" s="145" t="s">
        <v>202</v>
      </c>
      <c r="B68" s="181">
        <v>56628</v>
      </c>
      <c r="C68" s="76">
        <f>56627.9+672.05</f>
        <v>57299.950000000004</v>
      </c>
      <c r="D68" s="76">
        <f>B68-C68</f>
        <v>-671.95000000000437</v>
      </c>
      <c r="E68" s="175">
        <f>IF(ISERROR(D68/B68),"-",D68/B68)</f>
        <v>-1.1866038002401717E-2</v>
      </c>
      <c r="F68" s="207"/>
      <c r="G68" s="213">
        <v>0</v>
      </c>
      <c r="H68" s="130">
        <v>0</v>
      </c>
      <c r="I68" s="130">
        <f>G68-H68</f>
        <v>0</v>
      </c>
      <c r="J68" s="214" t="str">
        <f>IF(ISERROR(I68/G68),"-",I68/G68)</f>
        <v>-</v>
      </c>
      <c r="K68" s="207"/>
      <c r="L68" s="181"/>
      <c r="M68" s="76"/>
      <c r="N68" s="76"/>
      <c r="O68" s="176"/>
      <c r="P68" s="207"/>
      <c r="Q68" s="213">
        <v>0</v>
      </c>
      <c r="R68" s="130">
        <v>0</v>
      </c>
      <c r="S68" s="130">
        <f>Q68-R68</f>
        <v>0</v>
      </c>
      <c r="T68" s="214" t="str">
        <f>IF(ISERROR(S68/Q68),"-",S68/Q68)</f>
        <v>-</v>
      </c>
      <c r="U68" s="207"/>
      <c r="V68" s="181">
        <f t="shared" si="28"/>
        <v>56628</v>
      </c>
      <c r="W68" s="76">
        <f t="shared" si="28"/>
        <v>57299.950000000004</v>
      </c>
      <c r="X68" s="76">
        <f>V68-W68</f>
        <v>-671.95000000000437</v>
      </c>
      <c r="Y68" s="175">
        <f t="shared" si="25"/>
        <v>-1.1866038002401717E-2</v>
      </c>
      <c r="Z68" s="207"/>
      <c r="AA68" s="181">
        <v>56628</v>
      </c>
      <c r="AB68" s="76">
        <f>AA68-W68</f>
        <v>-671.95000000000437</v>
      </c>
      <c r="AC68" s="175">
        <f t="shared" si="27"/>
        <v>-1.1866038002401717E-2</v>
      </c>
      <c r="AD68" s="165"/>
      <c r="AE68" s="77"/>
    </row>
    <row r="69" spans="1:31" ht="15.75" x14ac:dyDescent="0.25">
      <c r="A69" s="145" t="s">
        <v>73</v>
      </c>
      <c r="B69" s="181">
        <v>4219</v>
      </c>
      <c r="C69" s="76">
        <v>0</v>
      </c>
      <c r="D69" s="76">
        <f>B69-C69</f>
        <v>4219</v>
      </c>
      <c r="E69" s="175">
        <f>IF(ISERROR(D69/B69),"-",D69/B69)</f>
        <v>1</v>
      </c>
      <c r="F69" s="207"/>
      <c r="G69" s="213">
        <v>0</v>
      </c>
      <c r="H69" s="130">
        <v>0</v>
      </c>
      <c r="I69" s="130">
        <f>G69-H69</f>
        <v>0</v>
      </c>
      <c r="J69" s="220" t="str">
        <f>IF(ISERROR(I69/G69),"-",I69/G69)</f>
        <v>-</v>
      </c>
      <c r="K69" s="207"/>
      <c r="L69" s="181"/>
      <c r="M69" s="76"/>
      <c r="N69" s="76"/>
      <c r="O69" s="175"/>
      <c r="P69" s="207"/>
      <c r="Q69" s="213">
        <v>0</v>
      </c>
      <c r="R69" s="130">
        <v>0</v>
      </c>
      <c r="S69" s="130">
        <f>Q69-R69</f>
        <v>0</v>
      </c>
      <c r="T69" s="220" t="str">
        <f>IF(ISERROR(S69/Q69),"-",S69/Q69)</f>
        <v>-</v>
      </c>
      <c r="U69" s="207"/>
      <c r="V69" s="181">
        <f t="shared" si="28"/>
        <v>4219</v>
      </c>
      <c r="W69" s="76">
        <f t="shared" si="28"/>
        <v>0</v>
      </c>
      <c r="X69" s="76">
        <f>V69-W69</f>
        <v>4219</v>
      </c>
      <c r="Y69" s="175">
        <f t="shared" si="25"/>
        <v>1</v>
      </c>
      <c r="Z69" s="207"/>
      <c r="AA69" s="181">
        <v>7251</v>
      </c>
      <c r="AB69" s="76">
        <f>AA69-W69</f>
        <v>7251</v>
      </c>
      <c r="AC69" s="175">
        <f t="shared" si="27"/>
        <v>1</v>
      </c>
      <c r="AD69" s="165"/>
      <c r="AE69" s="78"/>
    </row>
    <row r="70" spans="1:31" ht="15.75" x14ac:dyDescent="0.25">
      <c r="A70" s="145" t="s">
        <v>74</v>
      </c>
      <c r="B70" s="181"/>
      <c r="C70" s="76"/>
      <c r="D70" s="76"/>
      <c r="E70" s="175"/>
      <c r="F70" s="207"/>
      <c r="G70" s="213"/>
      <c r="H70" s="130"/>
      <c r="I70" s="130"/>
      <c r="J70" s="220"/>
      <c r="K70" s="207"/>
      <c r="L70" s="181"/>
      <c r="M70" s="76"/>
      <c r="N70" s="76"/>
      <c r="O70" s="175"/>
      <c r="P70" s="207"/>
      <c r="Q70" s="213"/>
      <c r="R70" s="130"/>
      <c r="S70" s="130"/>
      <c r="T70" s="220"/>
      <c r="U70" s="207"/>
      <c r="V70" s="181"/>
      <c r="W70" s="76"/>
      <c r="X70" s="76"/>
      <c r="Y70" s="175" t="str">
        <f t="shared" si="25"/>
        <v>-</v>
      </c>
      <c r="Z70" s="207"/>
      <c r="AA70" s="181"/>
      <c r="AB70" s="76"/>
      <c r="AC70" s="175" t="str">
        <f t="shared" si="27"/>
        <v>-</v>
      </c>
      <c r="AD70" s="165"/>
      <c r="AE70" s="78"/>
    </row>
    <row r="71" spans="1:31" ht="15.75" x14ac:dyDescent="0.25">
      <c r="A71" s="145" t="s">
        <v>75</v>
      </c>
      <c r="B71" s="181">
        <v>1480</v>
      </c>
      <c r="C71" s="76">
        <v>1479.69</v>
      </c>
      <c r="D71" s="76">
        <f t="shared" ref="D71:D76" si="29">B71-C71</f>
        <v>0.30999999999994543</v>
      </c>
      <c r="E71" s="175">
        <f t="shared" ref="E71:E77" si="30">IF(ISERROR(D71/B71),"-",D71/B71)</f>
        <v>2.0945945945942258E-4</v>
      </c>
      <c r="F71" s="205"/>
      <c r="G71" s="213">
        <v>26344</v>
      </c>
      <c r="H71" s="130">
        <v>40323</v>
      </c>
      <c r="I71" s="130">
        <f t="shared" ref="I71:I76" si="31">G71-H71</f>
        <v>-13979</v>
      </c>
      <c r="J71" s="220">
        <f t="shared" ref="J71:J77" si="32">IF(ISERROR(I71/G71),"-",I71/G71)</f>
        <v>-0.5306331612511388</v>
      </c>
      <c r="K71" s="205"/>
      <c r="L71" s="181"/>
      <c r="M71" s="76"/>
      <c r="N71" s="76"/>
      <c r="O71" s="175"/>
      <c r="P71" s="205"/>
      <c r="Q71" s="213">
        <v>0</v>
      </c>
      <c r="R71" s="130">
        <v>0</v>
      </c>
      <c r="S71" s="130">
        <f>Q71-R71</f>
        <v>0</v>
      </c>
      <c r="T71" s="220" t="str">
        <f>IF(ISERROR(S71/Q71),"-",S71/Q71)</f>
        <v>-</v>
      </c>
      <c r="U71" s="205"/>
      <c r="V71" s="181">
        <f t="shared" ref="V71:W76" si="33">B71+G71+L71+Q71</f>
        <v>27824</v>
      </c>
      <c r="W71" s="76">
        <f t="shared" si="33"/>
        <v>41802.69</v>
      </c>
      <c r="X71" s="76">
        <f t="shared" ref="X71:X76" si="34">V71-W71</f>
        <v>-13978.690000000002</v>
      </c>
      <c r="Y71" s="175">
        <f t="shared" si="25"/>
        <v>-0.50239685163887304</v>
      </c>
      <c r="Z71" s="205"/>
      <c r="AA71" s="181">
        <f>1480+40323</f>
        <v>41803</v>
      </c>
      <c r="AB71" s="76">
        <f t="shared" ref="AB71:AB76" si="35">AA71-W71</f>
        <v>0.30999999999767169</v>
      </c>
      <c r="AC71" s="175">
        <f t="shared" si="27"/>
        <v>7.4157357126921919E-6</v>
      </c>
      <c r="AD71" s="163"/>
      <c r="AE71" s="78"/>
    </row>
    <row r="72" spans="1:31" ht="15.75" x14ac:dyDescent="0.25">
      <c r="A72" s="145" t="s">
        <v>76</v>
      </c>
      <c r="B72" s="181">
        <v>0</v>
      </c>
      <c r="C72" s="76">
        <v>0</v>
      </c>
      <c r="D72" s="76">
        <f t="shared" si="29"/>
        <v>0</v>
      </c>
      <c r="E72" s="175" t="str">
        <f t="shared" si="30"/>
        <v>-</v>
      </c>
      <c r="F72" s="207"/>
      <c r="G72" s="213">
        <v>0</v>
      </c>
      <c r="H72" s="130">
        <v>483.87</v>
      </c>
      <c r="I72" s="130">
        <f t="shared" si="31"/>
        <v>-483.87</v>
      </c>
      <c r="J72" s="220" t="str">
        <f t="shared" si="32"/>
        <v>-</v>
      </c>
      <c r="K72" s="207"/>
      <c r="L72" s="181"/>
      <c r="M72" s="76"/>
      <c r="N72" s="76"/>
      <c r="O72" s="175"/>
      <c r="P72" s="207"/>
      <c r="Q72" s="213">
        <v>0</v>
      </c>
      <c r="R72" s="130">
        <v>0</v>
      </c>
      <c r="S72" s="130">
        <f>Q72-R72</f>
        <v>0</v>
      </c>
      <c r="T72" s="220" t="str">
        <f>IF(ISERROR(S72/Q72),"-",S72/Q72)</f>
        <v>-</v>
      </c>
      <c r="U72" s="207"/>
      <c r="V72" s="181">
        <f t="shared" si="33"/>
        <v>0</v>
      </c>
      <c r="W72" s="76">
        <f t="shared" si="33"/>
        <v>483.87</v>
      </c>
      <c r="X72" s="76">
        <f t="shared" si="34"/>
        <v>-483.87</v>
      </c>
      <c r="Y72" s="175" t="str">
        <f t="shared" si="25"/>
        <v>-</v>
      </c>
      <c r="Z72" s="207"/>
      <c r="AA72" s="181">
        <v>484</v>
      </c>
      <c r="AB72" s="76">
        <f t="shared" si="35"/>
        <v>0.12999999999999545</v>
      </c>
      <c r="AC72" s="175">
        <f t="shared" si="27"/>
        <v>2.6859504132230468E-4</v>
      </c>
      <c r="AD72" s="165"/>
      <c r="AE72" s="78"/>
    </row>
    <row r="73" spans="1:31" ht="15.75" x14ac:dyDescent="0.25">
      <c r="A73" s="145" t="s">
        <v>77</v>
      </c>
      <c r="B73" s="181">
        <f>6741+8958</f>
        <v>15699</v>
      </c>
      <c r="C73" s="76">
        <f>6740.54+8957.64</f>
        <v>15698.18</v>
      </c>
      <c r="D73" s="76">
        <f t="shared" si="29"/>
        <v>0.81999999999970896</v>
      </c>
      <c r="E73" s="175">
        <f t="shared" si="30"/>
        <v>5.2232626281910247E-5</v>
      </c>
      <c r="F73" s="205"/>
      <c r="G73" s="213">
        <f>6197+6202</f>
        <v>12399</v>
      </c>
      <c r="H73" s="130">
        <f>6197.05+7549.76</f>
        <v>13746.810000000001</v>
      </c>
      <c r="I73" s="130">
        <f t="shared" si="31"/>
        <v>-1347.8100000000013</v>
      </c>
      <c r="J73" s="220">
        <f t="shared" si="32"/>
        <v>-0.10870312121945329</v>
      </c>
      <c r="K73" s="205"/>
      <c r="L73" s="181"/>
      <c r="M73" s="76"/>
      <c r="N73" s="76"/>
      <c r="O73" s="175"/>
      <c r="P73" s="205"/>
      <c r="Q73" s="213">
        <v>0</v>
      </c>
      <c r="R73" s="130">
        <v>0</v>
      </c>
      <c r="S73" s="130">
        <f>Q73-R73</f>
        <v>0</v>
      </c>
      <c r="T73" s="220" t="str">
        <f>IF(ISERROR(S73/Q73),"-",S73/Q73)</f>
        <v>-</v>
      </c>
      <c r="U73" s="205"/>
      <c r="V73" s="181">
        <f t="shared" si="33"/>
        <v>28098</v>
      </c>
      <c r="W73" s="76">
        <f t="shared" si="33"/>
        <v>29444.99</v>
      </c>
      <c r="X73" s="76">
        <f t="shared" si="34"/>
        <v>-1346.9900000000016</v>
      </c>
      <c r="Y73" s="175">
        <f t="shared" si="25"/>
        <v>-4.7938999217026178E-2</v>
      </c>
      <c r="Z73" s="205"/>
      <c r="AA73" s="181">
        <f>30488+33160</f>
        <v>63648</v>
      </c>
      <c r="AB73" s="76">
        <f t="shared" si="35"/>
        <v>34203.009999999995</v>
      </c>
      <c r="AC73" s="175">
        <f t="shared" si="27"/>
        <v>0.53737760809451973</v>
      </c>
      <c r="AD73" s="163"/>
      <c r="AE73" s="78"/>
    </row>
    <row r="74" spans="1:31" ht="15.75" x14ac:dyDescent="0.25">
      <c r="A74" s="145" t="s">
        <v>203</v>
      </c>
      <c r="B74" s="181">
        <v>0</v>
      </c>
      <c r="C74" s="76">
        <v>0</v>
      </c>
      <c r="D74" s="76">
        <f t="shared" si="29"/>
        <v>0</v>
      </c>
      <c r="E74" s="175" t="str">
        <f t="shared" si="30"/>
        <v>-</v>
      </c>
      <c r="F74" s="207"/>
      <c r="G74" s="213">
        <v>0</v>
      </c>
      <c r="H74" s="130">
        <v>0</v>
      </c>
      <c r="I74" s="130">
        <f t="shared" si="31"/>
        <v>0</v>
      </c>
      <c r="J74" s="220" t="str">
        <f t="shared" si="32"/>
        <v>-</v>
      </c>
      <c r="K74" s="207"/>
      <c r="L74" s="181"/>
      <c r="M74" s="76"/>
      <c r="N74" s="76"/>
      <c r="O74" s="175"/>
      <c r="P74" s="207"/>
      <c r="Q74" s="213">
        <v>0</v>
      </c>
      <c r="R74" s="130">
        <v>0</v>
      </c>
      <c r="S74" s="130">
        <f>Q74-R74</f>
        <v>0</v>
      </c>
      <c r="T74" s="220"/>
      <c r="U74" s="207"/>
      <c r="V74" s="181">
        <f t="shared" si="33"/>
        <v>0</v>
      </c>
      <c r="W74" s="76">
        <f t="shared" si="33"/>
        <v>0</v>
      </c>
      <c r="X74" s="76">
        <f t="shared" si="34"/>
        <v>0</v>
      </c>
      <c r="Y74" s="175" t="str">
        <f t="shared" si="25"/>
        <v>-</v>
      </c>
      <c r="Z74" s="207"/>
      <c r="AA74" s="181">
        <v>0</v>
      </c>
      <c r="AB74" s="76">
        <f t="shared" si="35"/>
        <v>0</v>
      </c>
      <c r="AC74" s="175" t="str">
        <f t="shared" ref="AC74:AC77" si="36">IF(ISERROR(AB74/AA74),"-",AB74/AA74)</f>
        <v>-</v>
      </c>
      <c r="AD74" s="165"/>
      <c r="AE74" s="77"/>
    </row>
    <row r="75" spans="1:31" ht="15.75" x14ac:dyDescent="0.25">
      <c r="A75" s="64" t="s">
        <v>160</v>
      </c>
      <c r="B75" s="181"/>
      <c r="C75" s="76"/>
      <c r="D75" s="76">
        <f t="shared" si="29"/>
        <v>0</v>
      </c>
      <c r="E75" s="176" t="str">
        <f t="shared" si="30"/>
        <v>-</v>
      </c>
      <c r="F75" s="205"/>
      <c r="G75" s="226"/>
      <c r="H75" s="135"/>
      <c r="I75" s="130">
        <f t="shared" si="31"/>
        <v>0</v>
      </c>
      <c r="J75" s="214" t="str">
        <f t="shared" si="32"/>
        <v>-</v>
      </c>
      <c r="K75" s="205"/>
      <c r="L75" s="181"/>
      <c r="M75" s="76"/>
      <c r="N75" s="76"/>
      <c r="O75" s="176"/>
      <c r="P75" s="205"/>
      <c r="Q75" s="213">
        <v>0</v>
      </c>
      <c r="R75" s="130">
        <v>0</v>
      </c>
      <c r="S75" s="130">
        <f>Q75-R75</f>
        <v>0</v>
      </c>
      <c r="T75" s="214" t="str">
        <f>IF(ISERROR(S75/Q75),"-",S75/Q75)</f>
        <v>-</v>
      </c>
      <c r="U75" s="205"/>
      <c r="V75" s="181">
        <f t="shared" si="33"/>
        <v>0</v>
      </c>
      <c r="W75" s="76">
        <f t="shared" si="33"/>
        <v>0</v>
      </c>
      <c r="X75" s="76">
        <f t="shared" si="34"/>
        <v>0</v>
      </c>
      <c r="Y75" s="175" t="str">
        <f t="shared" si="25"/>
        <v>-</v>
      </c>
      <c r="Z75" s="205"/>
      <c r="AA75" s="181">
        <v>0</v>
      </c>
      <c r="AB75" s="76">
        <f t="shared" si="35"/>
        <v>0</v>
      </c>
      <c r="AC75" s="176" t="str">
        <f t="shared" si="36"/>
        <v>-</v>
      </c>
      <c r="AD75" s="163"/>
      <c r="AE75" s="77"/>
    </row>
    <row r="76" spans="1:31" ht="15.75" x14ac:dyDescent="0.25">
      <c r="A76" s="253"/>
      <c r="B76" s="187"/>
      <c r="C76" s="79"/>
      <c r="D76" s="79">
        <f t="shared" si="29"/>
        <v>0</v>
      </c>
      <c r="E76" s="252" t="str">
        <f t="shared" si="30"/>
        <v>-</v>
      </c>
      <c r="F76" s="205"/>
      <c r="G76" s="221"/>
      <c r="H76" s="133"/>
      <c r="I76" s="133">
        <f t="shared" si="31"/>
        <v>0</v>
      </c>
      <c r="J76" s="227" t="str">
        <f t="shared" si="32"/>
        <v>-</v>
      </c>
      <c r="K76" s="205"/>
      <c r="L76" s="187"/>
      <c r="M76" s="79"/>
      <c r="N76" s="79"/>
      <c r="O76" s="188"/>
      <c r="P76" s="205"/>
      <c r="Q76" s="221"/>
      <c r="R76" s="133"/>
      <c r="S76" s="133"/>
      <c r="T76" s="222"/>
      <c r="U76" s="205"/>
      <c r="V76" s="187">
        <f t="shared" si="33"/>
        <v>0</v>
      </c>
      <c r="W76" s="79">
        <f t="shared" si="33"/>
        <v>0</v>
      </c>
      <c r="X76" s="79">
        <f t="shared" si="34"/>
        <v>0</v>
      </c>
      <c r="Y76" s="252" t="str">
        <f t="shared" ref="Y76:Y77" si="37">IF(ISERROR(X76/V76),"-",X76/V76)</f>
        <v>-</v>
      </c>
      <c r="Z76" s="205"/>
      <c r="AA76" s="187">
        <v>0</v>
      </c>
      <c r="AB76" s="79">
        <f t="shared" si="35"/>
        <v>0</v>
      </c>
      <c r="AC76" s="252" t="str">
        <f t="shared" si="36"/>
        <v>-</v>
      </c>
      <c r="AD76" s="163"/>
      <c r="AE76" s="77"/>
    </row>
    <row r="77" spans="1:31" ht="15.75" x14ac:dyDescent="0.25">
      <c r="A77" s="146" t="s">
        <v>79</v>
      </c>
      <c r="B77" s="177">
        <f>SUM(B43:B75)</f>
        <v>2127057</v>
      </c>
      <c r="C77" s="110">
        <f>SUM(C43:C75)</f>
        <v>2281224.6000000006</v>
      </c>
      <c r="D77" s="110">
        <f>SUM(D43:D75)</f>
        <v>-154167.60000000018</v>
      </c>
      <c r="E77" s="178">
        <f t="shared" si="30"/>
        <v>-7.2479298862230854E-2</v>
      </c>
      <c r="F77" s="206"/>
      <c r="G77" s="177">
        <f>SUM(G43:G75)</f>
        <v>1383419</v>
      </c>
      <c r="H77" s="110">
        <f>SUM(H43:H75)</f>
        <v>1381620.49</v>
      </c>
      <c r="I77" s="110">
        <f>SUM(I43:I75)</f>
        <v>1798.5100000002412</v>
      </c>
      <c r="J77" s="178">
        <f t="shared" si="32"/>
        <v>1.3000472018963461E-3</v>
      </c>
      <c r="K77" s="206"/>
      <c r="L77" s="177"/>
      <c r="M77" s="110"/>
      <c r="N77" s="110"/>
      <c r="O77" s="178"/>
      <c r="P77" s="206"/>
      <c r="Q77" s="177">
        <f>SUM(Q43:Q75)</f>
        <v>0</v>
      </c>
      <c r="R77" s="110">
        <f>SUM(R43:R75)</f>
        <v>0</v>
      </c>
      <c r="S77" s="110">
        <f>SUM(S43:S75)</f>
        <v>0</v>
      </c>
      <c r="T77" s="178" t="str">
        <f>IF(ISERROR(S77/Q77),"-",S77/Q77)</f>
        <v>-</v>
      </c>
      <c r="U77" s="206"/>
      <c r="V77" s="177">
        <f>SUM(V43:V75)</f>
        <v>3510476</v>
      </c>
      <c r="W77" s="110">
        <f>SUM(W43:W75)</f>
        <v>3662845.0900000003</v>
      </c>
      <c r="X77" s="110">
        <f>SUM(X43:X75)</f>
        <v>-152369.08999999976</v>
      </c>
      <c r="Y77" s="178">
        <f t="shared" si="37"/>
        <v>-4.3404111009447084E-2</v>
      </c>
      <c r="Z77" s="206"/>
      <c r="AA77" s="177">
        <f>SUM(AA43:AA75)</f>
        <v>5468236</v>
      </c>
      <c r="AB77" s="110">
        <f>SUM(AB43:AB75)</f>
        <v>1805390.9100000001</v>
      </c>
      <c r="AC77" s="178">
        <f t="shared" si="36"/>
        <v>0.33015965477715303</v>
      </c>
      <c r="AD77" s="164"/>
      <c r="AE77" s="80"/>
    </row>
    <row r="78" spans="1:31" ht="15.75" x14ac:dyDescent="0.25">
      <c r="A78" s="154"/>
      <c r="B78" s="191"/>
      <c r="C78" s="91"/>
      <c r="D78" s="91"/>
      <c r="E78" s="192"/>
      <c r="F78" s="203"/>
      <c r="G78" s="228"/>
      <c r="H78" s="136"/>
      <c r="I78" s="136"/>
      <c r="J78" s="229"/>
      <c r="K78" s="203"/>
      <c r="L78" s="191"/>
      <c r="M78" s="91"/>
      <c r="N78" s="91"/>
      <c r="O78" s="192"/>
      <c r="P78" s="203"/>
      <c r="Q78" s="228"/>
      <c r="R78" s="136"/>
      <c r="S78" s="136"/>
      <c r="T78" s="238"/>
      <c r="U78" s="203"/>
      <c r="V78" s="241"/>
      <c r="W78" s="92"/>
      <c r="X78" s="91"/>
      <c r="Y78" s="192"/>
      <c r="Z78" s="203"/>
      <c r="AA78" s="241"/>
      <c r="AB78" s="91"/>
      <c r="AC78" s="192"/>
      <c r="AD78" s="161"/>
      <c r="AE78" s="77"/>
    </row>
    <row r="79" spans="1:31" ht="15.75" x14ac:dyDescent="0.25">
      <c r="A79" s="146" t="s">
        <v>80</v>
      </c>
      <c r="B79" s="177">
        <f>B41+B77+B78</f>
        <v>2398763</v>
      </c>
      <c r="C79" s="110">
        <f>C41+C77+C78</f>
        <v>2556888.4400000004</v>
      </c>
      <c r="D79" s="110">
        <f>D41+D77+D78</f>
        <v>-158125.44000000018</v>
      </c>
      <c r="E79" s="178">
        <f>IF(ISERROR(D79/B79),"-",D79/B79)</f>
        <v>-6.591957604815489E-2</v>
      </c>
      <c r="F79" s="207"/>
      <c r="G79" s="177">
        <f>G41+G77+G78</f>
        <v>1671958</v>
      </c>
      <c r="H79" s="110">
        <f>H41+H77+H78</f>
        <v>1658985.45</v>
      </c>
      <c r="I79" s="110">
        <f>I41+I77+I78</f>
        <v>12972.550000000243</v>
      </c>
      <c r="J79" s="178">
        <f>IF(ISERROR(I79/G79),"-",I79/G79)</f>
        <v>7.7588970536342679E-3</v>
      </c>
      <c r="K79" s="207"/>
      <c r="L79" s="177"/>
      <c r="M79" s="110"/>
      <c r="N79" s="110"/>
      <c r="O79" s="178"/>
      <c r="P79" s="207"/>
      <c r="Q79" s="177">
        <f>Q41+Q77+Q78</f>
        <v>0</v>
      </c>
      <c r="R79" s="110">
        <f>R41+R77+R78</f>
        <v>0</v>
      </c>
      <c r="S79" s="110">
        <f>S41+S77+S78</f>
        <v>0</v>
      </c>
      <c r="T79" s="178" t="str">
        <f>IF(ISERROR(S79/Q79),"-",S79/Q79)</f>
        <v>-</v>
      </c>
      <c r="U79" s="207"/>
      <c r="V79" s="177">
        <f>V41+V77+V78</f>
        <v>4070721</v>
      </c>
      <c r="W79" s="110">
        <f>W41+W77+W78</f>
        <v>4215873.8900000006</v>
      </c>
      <c r="X79" s="110">
        <f>X41+X77+X78</f>
        <v>-145152.88999999981</v>
      </c>
      <c r="Y79" s="178">
        <f>IF(ISERROR(X79/V79),"-",X79/V79)</f>
        <v>-3.5657783965051842E-2</v>
      </c>
      <c r="Z79" s="207"/>
      <c r="AA79" s="177">
        <f>AA41+AA77+AA78</f>
        <v>6697161</v>
      </c>
      <c r="AB79" s="110">
        <f>AB41+AB77+AB78</f>
        <v>2481287.1100000003</v>
      </c>
      <c r="AC79" s="178">
        <f>IF(ISERROR(AB79/AA79),"-",AB79/AA79)</f>
        <v>0.37049835146564347</v>
      </c>
      <c r="AD79" s="165"/>
      <c r="AE79" s="80"/>
    </row>
    <row r="80" spans="1:31" ht="15.75" x14ac:dyDescent="0.25">
      <c r="A80" s="155"/>
      <c r="B80" s="191"/>
      <c r="C80" s="91"/>
      <c r="D80" s="91"/>
      <c r="E80" s="192"/>
      <c r="F80" s="203"/>
      <c r="G80" s="228"/>
      <c r="H80" s="136"/>
      <c r="I80" s="136"/>
      <c r="J80" s="229"/>
      <c r="K80" s="203"/>
      <c r="L80" s="191"/>
      <c r="M80" s="91"/>
      <c r="N80" s="91"/>
      <c r="O80" s="192"/>
      <c r="P80" s="203"/>
      <c r="Q80" s="228"/>
      <c r="R80" s="136"/>
      <c r="S80" s="136"/>
      <c r="T80" s="229"/>
      <c r="U80" s="203"/>
      <c r="V80" s="241"/>
      <c r="W80" s="92"/>
      <c r="X80" s="91"/>
      <c r="Y80" s="192"/>
      <c r="Z80" s="203"/>
      <c r="AA80" s="241"/>
      <c r="AB80" s="91"/>
      <c r="AC80" s="192"/>
      <c r="AD80" s="161"/>
      <c r="AE80" s="77"/>
    </row>
    <row r="81" spans="1:31" ht="15.75" x14ac:dyDescent="0.25">
      <c r="A81" s="146" t="s">
        <v>81</v>
      </c>
      <c r="B81" s="177">
        <f>B28-B79</f>
        <v>429577</v>
      </c>
      <c r="C81" s="110">
        <f>C28-C79</f>
        <v>149309.36999999965</v>
      </c>
      <c r="D81" s="110">
        <f>D28+D79</f>
        <v>-280267.63000000018</v>
      </c>
      <c r="E81" s="178">
        <f>IF(ISERROR(D81/B81),"-",D81/B81)</f>
        <v>-0.65242699213412303</v>
      </c>
      <c r="F81" s="207"/>
      <c r="G81" s="177">
        <f>G28-G79</f>
        <v>19455</v>
      </c>
      <c r="H81" s="110">
        <f>H28-H79</f>
        <v>41284.290000000037</v>
      </c>
      <c r="I81" s="110">
        <f>I28+I79</f>
        <v>21829.290000000175</v>
      </c>
      <c r="J81" s="178">
        <f>IF(ISERROR(I81/G81),"-",I81/G81)</f>
        <v>1.1220400925212117</v>
      </c>
      <c r="K81" s="207"/>
      <c r="L81" s="177"/>
      <c r="M81" s="110"/>
      <c r="N81" s="110"/>
      <c r="O81" s="178"/>
      <c r="P81" s="207"/>
      <c r="Q81" s="177">
        <f>Q28-Q79</f>
        <v>0</v>
      </c>
      <c r="R81" s="110">
        <f>R28-R79</f>
        <v>0</v>
      </c>
      <c r="S81" s="110">
        <f>S28+S79</f>
        <v>0</v>
      </c>
      <c r="T81" s="178" t="str">
        <f>IF(ISERROR(S81/Q81),"-",S81/Q81)</f>
        <v>-</v>
      </c>
      <c r="U81" s="207"/>
      <c r="V81" s="242">
        <f>V28-V79</f>
        <v>449032</v>
      </c>
      <c r="W81" s="109">
        <f>W28-W79</f>
        <v>190593.65999999922</v>
      </c>
      <c r="X81" s="109">
        <f>X28+X79</f>
        <v>-258438.34000000011</v>
      </c>
      <c r="Y81" s="243">
        <f>IF(ISERROR(X81/V81),"-",X81/V81)</f>
        <v>-0.57554548450889942</v>
      </c>
      <c r="Z81" s="207"/>
      <c r="AA81" s="177">
        <f>AA28-AA79</f>
        <v>321436.3200000003</v>
      </c>
      <c r="AB81" s="110">
        <f>AB28-AB79</f>
        <v>130842.66000000015</v>
      </c>
      <c r="AC81" s="178">
        <f>IF(ISERROR(AB81/AA81),"-",AB81/AA81)</f>
        <v>0.40705624056422757</v>
      </c>
      <c r="AD81" s="165"/>
      <c r="AE81" s="80"/>
    </row>
    <row r="82" spans="1:31" ht="15.75" x14ac:dyDescent="0.25">
      <c r="A82" s="156"/>
      <c r="B82" s="193"/>
      <c r="C82" s="93"/>
      <c r="D82" s="94"/>
      <c r="E82" s="194"/>
      <c r="F82" s="111"/>
      <c r="G82" s="230"/>
      <c r="H82" s="137"/>
      <c r="I82" s="138"/>
      <c r="J82" s="231"/>
      <c r="K82" s="111"/>
      <c r="L82" s="193"/>
      <c r="M82" s="93"/>
      <c r="N82" s="94"/>
      <c r="O82" s="194"/>
      <c r="P82" s="111"/>
      <c r="Q82" s="230"/>
      <c r="R82" s="137"/>
      <c r="S82" s="138"/>
      <c r="T82" s="231"/>
      <c r="U82" s="111"/>
      <c r="V82" s="179"/>
      <c r="W82" s="81"/>
      <c r="X82" s="94"/>
      <c r="Y82" s="194"/>
      <c r="Z82" s="111"/>
      <c r="AA82" s="179"/>
      <c r="AB82" s="94"/>
      <c r="AC82" s="194"/>
      <c r="AD82" s="166"/>
      <c r="AE82" s="77"/>
    </row>
    <row r="83" spans="1:31" ht="15.75" x14ac:dyDescent="0.25">
      <c r="A83" s="148" t="s">
        <v>82</v>
      </c>
      <c r="B83" s="181"/>
      <c r="C83" s="76"/>
      <c r="D83" s="76">
        <f>B83-C83</f>
        <v>0</v>
      </c>
      <c r="E83" s="176" t="str">
        <f>IF(ISERROR(D83/B83),"-",D83/B83)</f>
        <v>-</v>
      </c>
      <c r="F83" s="207"/>
      <c r="G83" s="213"/>
      <c r="H83" s="130"/>
      <c r="I83" s="130">
        <f>G83-H83</f>
        <v>0</v>
      </c>
      <c r="J83" s="214" t="str">
        <f>IF(ISERROR(I83/G83),"-",I83/G83)</f>
        <v>-</v>
      </c>
      <c r="K83" s="207"/>
      <c r="L83" s="181"/>
      <c r="M83" s="76"/>
      <c r="N83" s="76"/>
      <c r="O83" s="176"/>
      <c r="P83" s="207"/>
      <c r="Q83" s="213"/>
      <c r="R83" s="130"/>
      <c r="S83" s="130">
        <f>Q83-R83</f>
        <v>0</v>
      </c>
      <c r="T83" s="214" t="str">
        <f>IF(ISERROR(S83/Q83),"-",S83/Q83)</f>
        <v>-</v>
      </c>
      <c r="U83" s="207"/>
      <c r="V83" s="181">
        <f>B83+G83+L83+Q83</f>
        <v>0</v>
      </c>
      <c r="W83" s="76">
        <f>C83+H83+M83+R83</f>
        <v>0</v>
      </c>
      <c r="X83" s="76">
        <f>V83-W83</f>
        <v>0</v>
      </c>
      <c r="Y83" s="176" t="str">
        <f>IF(ISERROR(X83/V83),"-",X83/V83)</f>
        <v>-</v>
      </c>
      <c r="Z83" s="207"/>
      <c r="AA83" s="181">
        <f>G83+L83+Q83+V83</f>
        <v>0</v>
      </c>
      <c r="AB83" s="76">
        <f>AA83-W83</f>
        <v>0</v>
      </c>
      <c r="AC83" s="176" t="str">
        <f>IF(ISERROR(AB83/AA83),"-",AB83/AA83)</f>
        <v>-</v>
      </c>
      <c r="AD83" s="165"/>
      <c r="AE83" s="77"/>
    </row>
    <row r="84" spans="1:31" ht="15.75" x14ac:dyDescent="0.25">
      <c r="A84" s="149"/>
      <c r="B84" s="195"/>
      <c r="C84" s="95"/>
      <c r="D84" s="95"/>
      <c r="E84" s="196"/>
      <c r="F84" s="111"/>
      <c r="G84" s="232"/>
      <c r="H84" s="139"/>
      <c r="I84" s="139"/>
      <c r="J84" s="233"/>
      <c r="K84" s="111"/>
      <c r="L84" s="195"/>
      <c r="M84" s="95"/>
      <c r="N84" s="95"/>
      <c r="O84" s="196"/>
      <c r="P84" s="111"/>
      <c r="Q84" s="232"/>
      <c r="R84" s="139"/>
      <c r="S84" s="139"/>
      <c r="T84" s="233"/>
      <c r="U84" s="111"/>
      <c r="V84" s="195"/>
      <c r="W84" s="95"/>
      <c r="X84" s="95"/>
      <c r="Y84" s="196"/>
      <c r="Z84" s="111"/>
      <c r="AA84" s="195"/>
      <c r="AB84" s="95"/>
      <c r="AC84" s="196"/>
      <c r="AD84" s="166"/>
      <c r="AE84" s="77"/>
    </row>
    <row r="85" spans="1:31" ht="16.5" thickBot="1" x14ac:dyDescent="0.3">
      <c r="A85" s="157" t="s">
        <v>83</v>
      </c>
      <c r="B85" s="197">
        <f>B81-B83</f>
        <v>429577</v>
      </c>
      <c r="C85" s="198">
        <f>C81-C83</f>
        <v>149309.36999999965</v>
      </c>
      <c r="D85" s="198">
        <f>D81+D83</f>
        <v>-280267.63000000018</v>
      </c>
      <c r="E85" s="199">
        <f>IF(ISERROR(D85/B85),"-",D85/B85)</f>
        <v>-0.65242699213412303</v>
      </c>
      <c r="F85" s="208"/>
      <c r="G85" s="197">
        <f>G81-G83</f>
        <v>19455</v>
      </c>
      <c r="H85" s="198">
        <f>H81-H83</f>
        <v>41284.290000000037</v>
      </c>
      <c r="I85" s="198">
        <f>I81+I83</f>
        <v>21829.290000000175</v>
      </c>
      <c r="J85" s="199">
        <f>IF(ISERROR(I85/G85),"-",I85/G85)</f>
        <v>1.1220400925212117</v>
      </c>
      <c r="K85" s="208"/>
      <c r="L85" s="197"/>
      <c r="M85" s="198"/>
      <c r="N85" s="198"/>
      <c r="O85" s="199"/>
      <c r="P85" s="208"/>
      <c r="Q85" s="197">
        <f>Q81-Q83</f>
        <v>0</v>
      </c>
      <c r="R85" s="198">
        <f>R81-R83</f>
        <v>0</v>
      </c>
      <c r="S85" s="198">
        <f>S81+S83</f>
        <v>0</v>
      </c>
      <c r="T85" s="199" t="str">
        <f>IF(ISERROR(S85/Q85),"-",S85/Q85)</f>
        <v>-</v>
      </c>
      <c r="U85" s="208"/>
      <c r="V85" s="244">
        <f>V81-V83</f>
        <v>449032</v>
      </c>
      <c r="W85" s="245">
        <f>W81-W83</f>
        <v>190593.65999999922</v>
      </c>
      <c r="X85" s="245">
        <f>X81+X83</f>
        <v>-258438.34000000011</v>
      </c>
      <c r="Y85" s="246">
        <f>IF(ISERROR(X85/V85),"-",X85/V85)</f>
        <v>-0.57554548450889942</v>
      </c>
      <c r="Z85" s="208"/>
      <c r="AA85" s="244">
        <f>AA81-AA83</f>
        <v>321436.3200000003</v>
      </c>
      <c r="AB85" s="245">
        <f>AA85-W85</f>
        <v>130842.66000000108</v>
      </c>
      <c r="AC85" s="246">
        <f>IF(ISERROR(AB85/AA85),"-",AB85/AA85)</f>
        <v>0.40705624056423045</v>
      </c>
      <c r="AD85" s="167"/>
      <c r="AE85" s="96"/>
    </row>
  </sheetData>
  <mergeCells count="20">
    <mergeCell ref="L10:O10"/>
    <mergeCell ref="Q10:T10"/>
    <mergeCell ref="V10:Y10"/>
    <mergeCell ref="AA10:AC10"/>
    <mergeCell ref="A8:AE8"/>
    <mergeCell ref="A9:AE9"/>
    <mergeCell ref="AE10:AE12"/>
    <mergeCell ref="D11:E11"/>
    <mergeCell ref="I11:J11"/>
    <mergeCell ref="N11:O11"/>
    <mergeCell ref="S11:T11"/>
    <mergeCell ref="X11:Y11"/>
    <mergeCell ref="AB11:AC11"/>
    <mergeCell ref="B10:E10"/>
    <mergeCell ref="G10:J10"/>
    <mergeCell ref="A1:H1"/>
    <mergeCell ref="A3:H3"/>
    <mergeCell ref="A4:H4"/>
    <mergeCell ref="A5:H5"/>
    <mergeCell ref="A6:H6"/>
  </mergeCells>
  <conditionalFormatting sqref="E54">
    <cfRule type="cellIs" dxfId="2" priority="1" stopIfTrue="1" operator="equal">
      <formula>""""""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W78"/>
  <sheetViews>
    <sheetView zoomScale="90" zoomScaleNormal="90" workbookViewId="0">
      <selection activeCell="I59" sqref="I59"/>
    </sheetView>
  </sheetViews>
  <sheetFormatPr defaultColWidth="8.85546875" defaultRowHeight="15.75" customHeight="1" x14ac:dyDescent="0.25"/>
  <cols>
    <col min="1" max="1" width="64.42578125" style="8" customWidth="1"/>
    <col min="2" max="2" width="16.42578125" style="8" customWidth="1"/>
    <col min="3" max="3" width="16.85546875" style="8" customWidth="1"/>
    <col min="4" max="4" width="18.140625" style="8" customWidth="1"/>
    <col min="5" max="5" width="17" style="8" customWidth="1"/>
    <col min="6" max="6" width="17.42578125" style="8" customWidth="1"/>
    <col min="7" max="231" width="8.85546875" style="8" customWidth="1"/>
    <col min="232" max="16384" width="8.85546875" style="2"/>
  </cols>
  <sheetData>
    <row r="1" spans="1:231" ht="18.75" customHeight="1" x14ac:dyDescent="0.25">
      <c r="A1" s="862" t="s">
        <v>0</v>
      </c>
      <c r="B1" s="879"/>
      <c r="C1" s="879"/>
      <c r="D1" s="879"/>
      <c r="E1" s="879"/>
      <c r="F1" s="879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</row>
    <row r="2" spans="1:231" ht="18.75" customHeight="1" x14ac:dyDescent="0.25">
      <c r="A2" s="3"/>
      <c r="B2" s="4"/>
      <c r="C2" s="4"/>
      <c r="D2" s="4"/>
      <c r="E2" s="4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</row>
    <row r="3" spans="1:231" s="9" customFormat="1" ht="18.75" customHeight="1" x14ac:dyDescent="0.3">
      <c r="A3" s="858" t="s">
        <v>204</v>
      </c>
      <c r="B3" s="859"/>
      <c r="C3" s="859"/>
      <c r="D3" s="859"/>
      <c r="E3" s="859"/>
      <c r="F3" s="859"/>
    </row>
    <row r="4" spans="1:231" ht="18.75" customHeight="1" x14ac:dyDescent="0.3">
      <c r="A4" s="880" t="s">
        <v>84</v>
      </c>
      <c r="B4" s="860"/>
      <c r="C4" s="860"/>
      <c r="D4" s="860"/>
      <c r="E4" s="860"/>
      <c r="F4" s="86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</row>
    <row r="5" spans="1:231" ht="18.75" customHeight="1" x14ac:dyDescent="0.3">
      <c r="A5" s="880" t="s">
        <v>85</v>
      </c>
      <c r="B5" s="881"/>
      <c r="C5" s="881"/>
      <c r="D5" s="881"/>
      <c r="E5" s="881"/>
      <c r="F5" s="88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</row>
    <row r="6" spans="1:231" ht="18.75" customHeight="1" x14ac:dyDescent="0.3">
      <c r="A6" s="858" t="s">
        <v>87</v>
      </c>
      <c r="B6" s="882"/>
      <c r="C6" s="882"/>
      <c r="D6" s="882"/>
      <c r="E6" s="882"/>
      <c r="F6" s="88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</row>
    <row r="7" spans="1:231" ht="18.75" customHeight="1" x14ac:dyDescent="0.3">
      <c r="A7" s="858" t="s">
        <v>5</v>
      </c>
      <c r="B7" s="859"/>
      <c r="C7" s="859"/>
      <c r="D7" s="859"/>
      <c r="E7" s="859"/>
      <c r="F7" s="859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</row>
    <row r="8" spans="1:231" ht="16.5" customHeight="1" thickBot="1" x14ac:dyDescent="0.3">
      <c r="A8" s="6"/>
      <c r="B8" s="34"/>
      <c r="C8" s="34"/>
      <c r="D8" s="34"/>
      <c r="E8" s="7"/>
      <c r="F8" s="3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</row>
    <row r="9" spans="1:231" ht="17.45" customHeight="1" x14ac:dyDescent="0.25">
      <c r="A9" s="17"/>
      <c r="B9" s="35" t="s">
        <v>162</v>
      </c>
      <c r="C9" s="35" t="s">
        <v>163</v>
      </c>
      <c r="D9" s="35" t="s">
        <v>98</v>
      </c>
      <c r="E9" s="49" t="s">
        <v>164</v>
      </c>
      <c r="F9" s="35" t="s">
        <v>165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</row>
    <row r="10" spans="1:231" ht="15" customHeight="1" x14ac:dyDescent="0.25">
      <c r="A10" s="18"/>
      <c r="B10" s="36">
        <v>43831</v>
      </c>
      <c r="C10" s="36">
        <v>43921</v>
      </c>
      <c r="D10" s="36">
        <v>44012</v>
      </c>
      <c r="E10" s="50">
        <v>44104</v>
      </c>
      <c r="F10" s="61">
        <v>44196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</row>
    <row r="11" spans="1:231" ht="15" customHeight="1" thickBot="1" x14ac:dyDescent="0.3">
      <c r="A11" s="19"/>
      <c r="B11" s="37" t="s">
        <v>19</v>
      </c>
      <c r="C11" s="37" t="s">
        <v>19</v>
      </c>
      <c r="D11" s="275" t="s">
        <v>19</v>
      </c>
      <c r="E11" s="51" t="s">
        <v>19</v>
      </c>
      <c r="F11" s="37" t="s">
        <v>19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</row>
    <row r="12" spans="1:231" ht="15" customHeight="1" x14ac:dyDescent="0.25">
      <c r="A12" s="20" t="s">
        <v>99</v>
      </c>
      <c r="B12" s="38"/>
      <c r="C12" s="38"/>
      <c r="D12" s="274"/>
      <c r="E12" s="52"/>
      <c r="F12" s="38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</row>
    <row r="13" spans="1:231" ht="15" customHeight="1" x14ac:dyDescent="0.25">
      <c r="A13" s="21" t="s">
        <v>100</v>
      </c>
      <c r="B13" s="39"/>
      <c r="C13" s="39"/>
      <c r="D13" s="39"/>
      <c r="E13" s="12"/>
      <c r="F13" s="39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</row>
    <row r="14" spans="1:231" ht="15" customHeight="1" x14ac:dyDescent="0.25">
      <c r="A14" s="10" t="s">
        <v>101</v>
      </c>
      <c r="B14" s="39">
        <v>1070624.3</v>
      </c>
      <c r="C14" s="39">
        <v>585610</v>
      </c>
      <c r="D14" s="39">
        <v>774207.2</v>
      </c>
      <c r="E14" s="12"/>
      <c r="F14" s="39"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</row>
    <row r="15" spans="1:231" ht="15" customHeight="1" x14ac:dyDescent="0.25">
      <c r="A15" s="11" t="s">
        <v>102</v>
      </c>
      <c r="B15" s="39">
        <f>1431085.86-727822.23</f>
        <v>703263.63000000012</v>
      </c>
      <c r="C15" s="39">
        <f>1106583-727822.23</f>
        <v>378760.77</v>
      </c>
      <c r="D15" s="39">
        <f>946766.38-727822.23</f>
        <v>218944.15000000002</v>
      </c>
      <c r="E15" s="12"/>
      <c r="F15" s="39"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</row>
    <row r="16" spans="1:231" ht="15" customHeight="1" x14ac:dyDescent="0.25">
      <c r="A16" s="11" t="s">
        <v>103</v>
      </c>
      <c r="B16" s="39">
        <v>28258</v>
      </c>
      <c r="C16" s="39">
        <v>40864</v>
      </c>
      <c r="D16" s="39">
        <v>704</v>
      </c>
      <c r="E16" s="12"/>
      <c r="F16" s="39"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</row>
    <row r="17" spans="1:231" ht="15" customHeight="1" x14ac:dyDescent="0.25">
      <c r="A17" s="11" t="s">
        <v>104</v>
      </c>
      <c r="B17" s="39">
        <v>0</v>
      </c>
      <c r="C17" s="39">
        <v>0</v>
      </c>
      <c r="D17" s="39">
        <v>0</v>
      </c>
      <c r="E17" s="12"/>
      <c r="F17" s="39"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</row>
    <row r="18" spans="1:231" ht="15" customHeight="1" x14ac:dyDescent="0.25">
      <c r="A18" s="11" t="s">
        <v>105</v>
      </c>
      <c r="B18" s="39">
        <f>39650.95+404492.65+492673.42</f>
        <v>936817.02</v>
      </c>
      <c r="C18" s="39">
        <f>39650.95+404492.65+492673.42</f>
        <v>936817.02</v>
      </c>
      <c r="D18" s="39">
        <f>39650.95+404492.65+492673.42</f>
        <v>936817.02</v>
      </c>
      <c r="E18" s="273"/>
      <c r="F18" s="39">
        <v>0</v>
      </c>
      <c r="G18" s="906"/>
      <c r="H18" s="907"/>
      <c r="I18" s="907"/>
      <c r="J18" s="907"/>
      <c r="K18" s="907"/>
      <c r="L18" s="907"/>
      <c r="M18" s="907"/>
      <c r="N18" s="907"/>
      <c r="O18" s="907"/>
      <c r="P18" s="907"/>
      <c r="Q18" s="907"/>
      <c r="R18" s="907"/>
      <c r="S18" s="907"/>
      <c r="T18" s="907"/>
      <c r="U18" s="907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</row>
    <row r="19" spans="1:231" ht="15" customHeight="1" x14ac:dyDescent="0.25">
      <c r="A19" s="22" t="s">
        <v>106</v>
      </c>
      <c r="B19" s="40">
        <v>0</v>
      </c>
      <c r="C19" s="40">
        <v>0</v>
      </c>
      <c r="D19" s="40">
        <v>0</v>
      </c>
      <c r="E19" s="53"/>
      <c r="F19" s="40">
        <v>0</v>
      </c>
      <c r="G19" s="906"/>
      <c r="H19" s="907"/>
      <c r="I19" s="907"/>
      <c r="J19" s="907"/>
      <c r="K19" s="907"/>
      <c r="L19" s="907"/>
      <c r="M19" s="907"/>
      <c r="N19" s="907"/>
      <c r="O19" s="907"/>
      <c r="P19" s="907"/>
      <c r="Q19" s="907"/>
      <c r="R19" s="907"/>
      <c r="S19" s="907"/>
      <c r="T19" s="907"/>
      <c r="U19" s="907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</row>
    <row r="20" spans="1:231" ht="15" customHeight="1" x14ac:dyDescent="0.25">
      <c r="A20" s="23" t="s">
        <v>107</v>
      </c>
      <c r="B20" s="41">
        <f>SUM(B14:B19)</f>
        <v>2738962.95</v>
      </c>
      <c r="C20" s="41">
        <f>SUM(C14:C19)</f>
        <v>1942051.79</v>
      </c>
      <c r="D20" s="41">
        <f>SUM(D14:D19)</f>
        <v>1930672.37</v>
      </c>
      <c r="E20" s="54"/>
      <c r="F20" s="41">
        <f>SUM(F14:F19)</f>
        <v>0</v>
      </c>
      <c r="G20" s="906"/>
      <c r="H20" s="907"/>
      <c r="I20" s="907"/>
      <c r="J20" s="907"/>
      <c r="K20" s="907"/>
      <c r="L20" s="907"/>
      <c r="M20" s="907"/>
      <c r="N20" s="907"/>
      <c r="O20" s="907"/>
      <c r="P20" s="907"/>
      <c r="Q20" s="907"/>
      <c r="R20" s="907"/>
      <c r="S20" s="907"/>
      <c r="T20" s="907"/>
      <c r="U20" s="907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</row>
    <row r="21" spans="1:231" ht="15" customHeight="1" x14ac:dyDescent="0.25">
      <c r="A21" s="24"/>
      <c r="B21" s="42"/>
      <c r="C21" s="42"/>
      <c r="D21" s="42"/>
      <c r="E21" s="55"/>
      <c r="F21" s="4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</row>
    <row r="22" spans="1:231" ht="15" customHeight="1" x14ac:dyDescent="0.25">
      <c r="A22" s="25" t="s">
        <v>108</v>
      </c>
      <c r="B22" s="39"/>
      <c r="C22" s="39"/>
      <c r="D22" s="39"/>
      <c r="E22" s="12"/>
      <c r="F22" s="39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</row>
    <row r="23" spans="1:231" ht="15" customHeight="1" x14ac:dyDescent="0.25">
      <c r="A23" s="11" t="s">
        <v>109</v>
      </c>
      <c r="B23" s="39">
        <v>0</v>
      </c>
      <c r="C23" s="39">
        <v>0</v>
      </c>
      <c r="D23" s="39">
        <v>0</v>
      </c>
      <c r="E23" s="12"/>
      <c r="F23" s="39">
        <v>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</row>
    <row r="24" spans="1:231" ht="15" customHeight="1" x14ac:dyDescent="0.25">
      <c r="A24" s="11" t="s">
        <v>110</v>
      </c>
      <c r="B24" s="39">
        <v>0</v>
      </c>
      <c r="C24" s="39">
        <v>0</v>
      </c>
      <c r="D24" s="39">
        <v>0</v>
      </c>
      <c r="E24" s="12"/>
      <c r="F24" s="39">
        <v>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</row>
    <row r="25" spans="1:231" ht="15" customHeight="1" x14ac:dyDescent="0.25">
      <c r="A25" s="11" t="s">
        <v>111</v>
      </c>
      <c r="B25" s="39">
        <v>0</v>
      </c>
      <c r="C25" s="39">
        <v>0</v>
      </c>
      <c r="D25" s="39">
        <v>0</v>
      </c>
      <c r="E25" s="12"/>
      <c r="F25" s="39"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</row>
    <row r="26" spans="1:231" ht="15" customHeight="1" x14ac:dyDescent="0.25">
      <c r="A26" s="11" t="s">
        <v>112</v>
      </c>
      <c r="B26" s="39">
        <v>0</v>
      </c>
      <c r="C26" s="39">
        <v>0</v>
      </c>
      <c r="D26" s="39">
        <v>0</v>
      </c>
      <c r="E26" s="12"/>
      <c r="F26" s="39">
        <v>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</row>
    <row r="27" spans="1:231" ht="15" customHeight="1" x14ac:dyDescent="0.25">
      <c r="A27" s="11" t="s">
        <v>197</v>
      </c>
      <c r="B27" s="39">
        <v>0</v>
      </c>
      <c r="C27" s="39">
        <v>0</v>
      </c>
      <c r="D27" s="39">
        <v>0</v>
      </c>
      <c r="E27" s="12"/>
      <c r="F27" s="39">
        <v>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</row>
    <row r="28" spans="1:231" ht="15" customHeight="1" x14ac:dyDescent="0.25">
      <c r="A28" s="11" t="s">
        <v>168</v>
      </c>
      <c r="B28" s="39"/>
      <c r="C28" s="39"/>
      <c r="D28" s="39"/>
      <c r="E28" s="12"/>
      <c r="F28" s="39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</row>
    <row r="29" spans="1:231" ht="15" customHeight="1" x14ac:dyDescent="0.25">
      <c r="A29" s="22" t="s">
        <v>115</v>
      </c>
      <c r="B29" s="40">
        <v>0</v>
      </c>
      <c r="C29" s="40">
        <v>0</v>
      </c>
      <c r="D29" s="40">
        <v>0</v>
      </c>
      <c r="E29" s="53"/>
      <c r="F29" s="40"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</row>
    <row r="30" spans="1:231" ht="15" customHeight="1" x14ac:dyDescent="0.25">
      <c r="A30" s="23" t="s">
        <v>116</v>
      </c>
      <c r="B30" s="41">
        <f>SUM(B23:B29)</f>
        <v>0</v>
      </c>
      <c r="C30" s="41">
        <f>SUM(C23:C29)</f>
        <v>0</v>
      </c>
      <c r="D30" s="41">
        <f>SUM(D23:D29)</f>
        <v>0</v>
      </c>
      <c r="E30" s="54"/>
      <c r="F30" s="41">
        <f>SUM(F23:F29)</f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</row>
    <row r="31" spans="1:231" ht="15" customHeight="1" x14ac:dyDescent="0.25">
      <c r="A31" s="24"/>
      <c r="B31" s="42"/>
      <c r="C31" s="42"/>
      <c r="D31" s="42"/>
      <c r="E31" s="55"/>
      <c r="F31" s="42"/>
      <c r="G31" s="2"/>
      <c r="H31" s="2"/>
      <c r="I31" s="2"/>
      <c r="J31" s="2"/>
      <c r="K31" s="2"/>
      <c r="L31" s="2" t="b">
        <f>D20+K58=J62</f>
        <v>0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</row>
    <row r="32" spans="1:231" ht="15" customHeight="1" x14ac:dyDescent="0.25">
      <c r="A32" s="25" t="s">
        <v>117</v>
      </c>
      <c r="B32" s="43"/>
      <c r="C32" s="43"/>
      <c r="D32" s="43"/>
      <c r="E32" s="15"/>
      <c r="F32" s="4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</row>
    <row r="33" spans="1:231" ht="15" customHeight="1" x14ac:dyDescent="0.25">
      <c r="A33" s="13" t="s">
        <v>118</v>
      </c>
      <c r="B33" s="43">
        <f>490503.5+617974.83</f>
        <v>1108478.33</v>
      </c>
      <c r="C33" s="43">
        <f>490503.5+717148.82</f>
        <v>1207652.3199999998</v>
      </c>
      <c r="D33" s="43">
        <f>490503.5+717148.82</f>
        <v>1207652.3199999998</v>
      </c>
      <c r="E33" s="15"/>
      <c r="F33" s="43"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</row>
    <row r="34" spans="1:231" ht="15" customHeight="1" x14ac:dyDescent="0.25">
      <c r="A34" s="13" t="s">
        <v>119</v>
      </c>
      <c r="B34" s="43">
        <f>478.84+803.77+947.58+629.61-75.46+1474.03+256.74+1279.56+26793.36+840.2+461.82+586.93+11346.3</f>
        <v>45823.28</v>
      </c>
      <c r="C34" s="43">
        <v>45823</v>
      </c>
      <c r="D34" s="43">
        <f>478.84+803.77+947.58+629.61-75.46+1474.03+256.74+1279.56+32326.13+840.2+461.82+586.93+11346.3</f>
        <v>51356.05</v>
      </c>
      <c r="E34" s="15"/>
      <c r="F34" s="43">
        <v>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</row>
    <row r="35" spans="1:231" ht="15" customHeight="1" x14ac:dyDescent="0.25">
      <c r="A35" s="13" t="s">
        <v>120</v>
      </c>
      <c r="B35" s="43">
        <f>537.65-140.68+145.93-252.71+633.07-151.57+9208.95+860.22+1341.41+1044.96+1687.66</f>
        <v>14914.89</v>
      </c>
      <c r="C35" s="43">
        <v>16824</v>
      </c>
      <c r="D35" s="43">
        <f>633.07-252.71-151.57+11078.62+860.22+1341.41+1044.96+1687.66</f>
        <v>16241.66</v>
      </c>
      <c r="E35" s="15"/>
      <c r="F35" s="43">
        <v>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</row>
    <row r="36" spans="1:231" ht="15" customHeight="1" x14ac:dyDescent="0.25">
      <c r="A36" s="13" t="s">
        <v>121</v>
      </c>
      <c r="B36" s="43">
        <f>39.19-143.58+760.14+92.73+3528.2+19896.36</f>
        <v>24173.040000000001</v>
      </c>
      <c r="C36" s="43">
        <v>24133</v>
      </c>
      <c r="D36" s="43">
        <f>39.19-143.58+21853.37+760.14+92.73+3528.2-140.68+537.65+145.93</f>
        <v>26672.95</v>
      </c>
      <c r="E36" s="15"/>
      <c r="F36" s="43">
        <v>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</row>
    <row r="37" spans="1:231" ht="15" customHeight="1" x14ac:dyDescent="0.25">
      <c r="A37" s="13" t="s">
        <v>122</v>
      </c>
      <c r="B37" s="43">
        <v>8965</v>
      </c>
      <c r="C37" s="43">
        <v>8965</v>
      </c>
      <c r="D37" s="43">
        <v>8965</v>
      </c>
      <c r="E37" s="15"/>
      <c r="F37" s="43"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</row>
    <row r="38" spans="1:231" ht="15" customHeight="1" x14ac:dyDescent="0.25">
      <c r="A38" s="14" t="s">
        <v>169</v>
      </c>
      <c r="B38" s="44">
        <v>0</v>
      </c>
      <c r="C38" s="44">
        <v>0</v>
      </c>
      <c r="D38" s="44">
        <v>0</v>
      </c>
      <c r="E38" s="56"/>
      <c r="F38" s="44"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</row>
    <row r="39" spans="1:231" ht="15" customHeight="1" x14ac:dyDescent="0.25">
      <c r="A39" s="23" t="s">
        <v>124</v>
      </c>
      <c r="B39" s="41">
        <f>SUM(B32:B38)</f>
        <v>1202354.54</v>
      </c>
      <c r="C39" s="41">
        <f>SUM(C32:C38)</f>
        <v>1303397.3199999998</v>
      </c>
      <c r="D39" s="41">
        <f>SUM(D32:D38)</f>
        <v>1310887.9799999997</v>
      </c>
      <c r="E39" s="54"/>
      <c r="F39" s="41">
        <f>SUM(F32:F38)</f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</row>
    <row r="40" spans="1:231" ht="15" customHeight="1" x14ac:dyDescent="0.25">
      <c r="A40" s="26"/>
      <c r="B40" s="45"/>
      <c r="C40" s="45"/>
      <c r="D40" s="45"/>
      <c r="E40" s="57"/>
      <c r="F40" s="45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</row>
    <row r="41" spans="1:231" ht="15" customHeight="1" x14ac:dyDescent="0.25">
      <c r="A41" s="21" t="s">
        <v>125</v>
      </c>
      <c r="B41" s="39">
        <v>0</v>
      </c>
      <c r="C41" s="39">
        <v>0</v>
      </c>
      <c r="D41" s="39">
        <v>0</v>
      </c>
      <c r="E41" s="12"/>
      <c r="F41" s="39"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</row>
    <row r="42" spans="1:231" ht="15" customHeight="1" x14ac:dyDescent="0.25">
      <c r="A42" s="27"/>
      <c r="B42" s="44"/>
      <c r="C42" s="44"/>
      <c r="D42" s="44"/>
      <c r="E42" s="56"/>
      <c r="F42" s="4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</row>
    <row r="43" spans="1:231" ht="15" customHeight="1" x14ac:dyDescent="0.25">
      <c r="A43" s="23" t="s">
        <v>126</v>
      </c>
      <c r="B43" s="41">
        <f>B20+B30+B39+B41</f>
        <v>3941317.49</v>
      </c>
      <c r="C43" s="41">
        <f>C20+C30+C39+C41</f>
        <v>3245449.11</v>
      </c>
      <c r="D43" s="41">
        <f>D20+D30+D39+D41</f>
        <v>3241560.3499999996</v>
      </c>
      <c r="E43" s="54"/>
      <c r="F43" s="41">
        <f>F20+F30+F39+F41</f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</row>
    <row r="44" spans="1:231" ht="15" customHeight="1" x14ac:dyDescent="0.25">
      <c r="A44" s="28"/>
      <c r="B44" s="46"/>
      <c r="C44" s="46"/>
      <c r="D44" s="46"/>
      <c r="E44" s="58"/>
      <c r="F44" s="46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</row>
    <row r="45" spans="1:231" ht="15" customHeight="1" x14ac:dyDescent="0.25">
      <c r="A45" s="21" t="s">
        <v>127</v>
      </c>
      <c r="B45" s="43"/>
      <c r="C45" s="43"/>
      <c r="D45" s="43"/>
      <c r="E45" s="15"/>
      <c r="F45" s="4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</row>
    <row r="46" spans="1:231" ht="15" customHeight="1" x14ac:dyDescent="0.25">
      <c r="A46" s="29"/>
      <c r="B46" s="43"/>
      <c r="C46" s="43"/>
      <c r="D46" s="43"/>
      <c r="E46" s="15"/>
      <c r="F46" s="4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</row>
    <row r="47" spans="1:231" ht="15" customHeight="1" x14ac:dyDescent="0.25">
      <c r="A47" s="21" t="s">
        <v>128</v>
      </c>
      <c r="B47" s="39"/>
      <c r="C47" s="39"/>
      <c r="D47" s="39"/>
      <c r="E47" s="12"/>
      <c r="F47" s="39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</row>
    <row r="48" spans="1:231" ht="15" customHeight="1" x14ac:dyDescent="0.25">
      <c r="A48" s="13" t="s">
        <v>129</v>
      </c>
      <c r="B48" s="43">
        <f>1373129.68-186688</f>
        <v>1186441.68</v>
      </c>
      <c r="C48" s="43">
        <f>1018235-205520</f>
        <v>812715</v>
      </c>
      <c r="D48" s="43">
        <f>621542.96-242483</f>
        <v>379059.95999999996</v>
      </c>
      <c r="E48" s="15"/>
      <c r="F48" s="43">
        <v>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</row>
    <row r="49" spans="1:231" ht="15" customHeight="1" x14ac:dyDescent="0.25">
      <c r="A49" s="16" t="s">
        <v>130</v>
      </c>
      <c r="B49" s="43">
        <v>0</v>
      </c>
      <c r="C49" s="43">
        <v>0</v>
      </c>
      <c r="D49" s="43">
        <v>0</v>
      </c>
      <c r="E49" s="15"/>
      <c r="F49" s="43">
        <v>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</row>
    <row r="50" spans="1:231" ht="15" customHeight="1" x14ac:dyDescent="0.25">
      <c r="A50" s="16" t="s">
        <v>131</v>
      </c>
      <c r="B50" s="43">
        <v>0</v>
      </c>
      <c r="C50" s="43">
        <v>0</v>
      </c>
      <c r="D50" s="43">
        <v>0</v>
      </c>
      <c r="E50" s="15"/>
      <c r="F50" s="43">
        <v>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</row>
    <row r="51" spans="1:231" ht="15" customHeight="1" x14ac:dyDescent="0.25">
      <c r="A51" s="16" t="s">
        <v>132</v>
      </c>
      <c r="B51" s="43">
        <v>0</v>
      </c>
      <c r="C51" s="43">
        <v>0</v>
      </c>
      <c r="D51" s="43">
        <v>0</v>
      </c>
      <c r="E51" s="15"/>
      <c r="F51" s="43">
        <v>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</row>
    <row r="52" spans="1:231" ht="15" customHeight="1" x14ac:dyDescent="0.25">
      <c r="A52" s="16" t="s">
        <v>205</v>
      </c>
      <c r="B52" s="43">
        <v>4247.2700000000004</v>
      </c>
      <c r="C52" s="43">
        <v>4597</v>
      </c>
      <c r="D52" s="43">
        <v>4597.2700000000004</v>
      </c>
      <c r="E52" s="15"/>
      <c r="F52" s="43">
        <v>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</row>
    <row r="53" spans="1:231" ht="15" customHeight="1" x14ac:dyDescent="0.25">
      <c r="A53" s="16" t="s">
        <v>134</v>
      </c>
      <c r="B53" s="43">
        <v>0</v>
      </c>
      <c r="C53" s="43">
        <v>0</v>
      </c>
      <c r="D53" s="43">
        <v>0</v>
      </c>
      <c r="E53" s="15"/>
      <c r="F53" s="43">
        <v>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</row>
    <row r="54" spans="1:231" ht="15" customHeight="1" x14ac:dyDescent="0.25">
      <c r="A54" s="13" t="s">
        <v>135</v>
      </c>
      <c r="B54" s="43">
        <f>8690.43-1110.87-134.1+77.53</f>
        <v>7522.99</v>
      </c>
      <c r="C54" s="43">
        <v>6563</v>
      </c>
      <c r="D54" s="43">
        <f>10509.27-992.86-514.35-134.1</f>
        <v>8867.9599999999991</v>
      </c>
      <c r="E54" s="605"/>
      <c r="F54" s="43">
        <v>0</v>
      </c>
      <c r="G54" s="271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</row>
    <row r="55" spans="1:231" ht="15" customHeight="1" x14ac:dyDescent="0.25">
      <c r="A55" s="820" t="s">
        <v>206</v>
      </c>
      <c r="B55" s="823"/>
      <c r="C55" s="823"/>
      <c r="D55" s="823"/>
      <c r="E55" s="15"/>
      <c r="F55" s="43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</row>
    <row r="56" spans="1:231" ht="15" customHeight="1" x14ac:dyDescent="0.25">
      <c r="A56" s="821" t="s">
        <v>137</v>
      </c>
      <c r="B56" s="44">
        <v>0</v>
      </c>
      <c r="C56" s="44">
        <v>0</v>
      </c>
      <c r="D56" s="44">
        <v>0</v>
      </c>
      <c r="E56" s="272"/>
      <c r="F56" s="44">
        <v>0</v>
      </c>
      <c r="G56" s="271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</row>
    <row r="57" spans="1:231" ht="15" customHeight="1" x14ac:dyDescent="0.25">
      <c r="A57" s="23" t="s">
        <v>138</v>
      </c>
      <c r="B57" s="41">
        <f>SUM(B48:B56)</f>
        <v>1198211.94</v>
      </c>
      <c r="C57" s="41">
        <f>SUM(C48:C56)</f>
        <v>823875</v>
      </c>
      <c r="D57" s="41">
        <f>SUM(D48:D56)</f>
        <v>392525.19</v>
      </c>
      <c r="E57" s="54"/>
      <c r="F57" s="41">
        <f>SUM(F48:F56)</f>
        <v>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</row>
    <row r="58" spans="1:231" ht="15" customHeight="1" x14ac:dyDescent="0.25">
      <c r="A58" s="30"/>
      <c r="B58" s="42"/>
      <c r="C58" s="42"/>
      <c r="D58" s="42"/>
      <c r="E58" s="55"/>
      <c r="F58" s="4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</row>
    <row r="59" spans="1:231" ht="15" customHeight="1" x14ac:dyDescent="0.25">
      <c r="A59" s="21" t="s">
        <v>139</v>
      </c>
      <c r="B59" s="43"/>
      <c r="C59" s="43"/>
      <c r="D59" s="43"/>
      <c r="E59" s="15"/>
      <c r="F59" s="43"/>
      <c r="G59" s="2"/>
      <c r="H59" s="2"/>
      <c r="I59" s="305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</row>
    <row r="60" spans="1:231" ht="15" customHeight="1" x14ac:dyDescent="0.25">
      <c r="A60" s="13" t="s">
        <v>170</v>
      </c>
      <c r="B60" s="43">
        <v>76898.02</v>
      </c>
      <c r="C60" s="43">
        <v>58898</v>
      </c>
      <c r="D60" s="43">
        <v>40539</v>
      </c>
      <c r="E60" s="15"/>
      <c r="F60" s="43">
        <v>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</row>
    <row r="61" spans="1:231" ht="15" customHeight="1" x14ac:dyDescent="0.25">
      <c r="A61" s="13" t="s">
        <v>44</v>
      </c>
      <c r="B61" s="43">
        <v>0</v>
      </c>
      <c r="C61" s="43">
        <v>0</v>
      </c>
      <c r="D61" s="43">
        <v>0</v>
      </c>
      <c r="E61" s="15"/>
      <c r="F61" s="4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</row>
    <row r="62" spans="1:231" ht="15" customHeight="1" x14ac:dyDescent="0.25">
      <c r="A62" s="31"/>
      <c r="B62" s="44"/>
      <c r="C62" s="44"/>
      <c r="D62" s="44"/>
      <c r="E62" s="56"/>
      <c r="F62" s="4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</row>
    <row r="63" spans="1:231" ht="15" customHeight="1" x14ac:dyDescent="0.25">
      <c r="A63" s="23" t="s">
        <v>142</v>
      </c>
      <c r="B63" s="41">
        <f>SUM(B60:B62)</f>
        <v>76898.02</v>
      </c>
      <c r="C63" s="41">
        <f>SUM(C60:C62)</f>
        <v>58898</v>
      </c>
      <c r="D63" s="41">
        <f>SUM(D60:D62)</f>
        <v>40539</v>
      </c>
      <c r="E63" s="54"/>
      <c r="F63" s="41">
        <f>SUM(F60:F62)</f>
        <v>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</row>
    <row r="64" spans="1:231" ht="15" customHeight="1" x14ac:dyDescent="0.25">
      <c r="A64" s="30"/>
      <c r="B64" s="42"/>
      <c r="C64" s="42"/>
      <c r="D64" s="42"/>
      <c r="E64" s="55"/>
      <c r="F64" s="4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</row>
    <row r="65" spans="1:231" ht="15" customHeight="1" x14ac:dyDescent="0.25">
      <c r="A65" s="21" t="s">
        <v>143</v>
      </c>
      <c r="B65" s="43"/>
      <c r="C65" s="43"/>
      <c r="D65" s="43"/>
      <c r="E65" s="15"/>
      <c r="F65" s="4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</row>
    <row r="66" spans="1:231" ht="15" customHeight="1" x14ac:dyDescent="0.25">
      <c r="A66" s="13" t="s">
        <v>144</v>
      </c>
      <c r="B66" s="43">
        <f>2549268.66-76077.94+54438.44</f>
        <v>2527629.16</v>
      </c>
      <c r="C66" s="43">
        <f>2549268.66-76077.94+54438.44</f>
        <v>2527629.16</v>
      </c>
      <c r="D66" s="43">
        <f>2550339.64-76077.94+54538.44</f>
        <v>2528800.14</v>
      </c>
      <c r="E66" s="15"/>
      <c r="F66" s="43">
        <v>0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</row>
    <row r="67" spans="1:231" ht="15" customHeight="1" x14ac:dyDescent="0.25">
      <c r="A67" s="13" t="s">
        <v>145</v>
      </c>
      <c r="B67" s="43">
        <v>0</v>
      </c>
      <c r="C67" s="43">
        <v>0</v>
      </c>
      <c r="D67" s="43">
        <v>0</v>
      </c>
      <c r="E67" s="15"/>
      <c r="F67" s="43">
        <v>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</row>
    <row r="68" spans="1:231" ht="15" customHeight="1" x14ac:dyDescent="0.25">
      <c r="A68" s="13" t="s">
        <v>146</v>
      </c>
      <c r="B68" s="43">
        <v>0</v>
      </c>
      <c r="C68" s="43">
        <v>0</v>
      </c>
      <c r="D68" s="43">
        <v>0</v>
      </c>
      <c r="E68" s="15"/>
      <c r="F68" s="43">
        <v>0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</row>
    <row r="69" spans="1:231" ht="15" customHeight="1" x14ac:dyDescent="0.25">
      <c r="A69" s="14" t="s">
        <v>147</v>
      </c>
      <c r="B69" s="44">
        <v>138577.91</v>
      </c>
      <c r="C69" s="44">
        <v>-164953.35999999999</v>
      </c>
      <c r="D69" s="44">
        <v>279695.40000000002</v>
      </c>
      <c r="E69" s="56"/>
      <c r="F69" s="44">
        <v>0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</row>
    <row r="70" spans="1:231" ht="15" customHeight="1" x14ac:dyDescent="0.25">
      <c r="A70" s="23" t="s">
        <v>148</v>
      </c>
      <c r="B70" s="41">
        <f>SUM(B66:B69)</f>
        <v>2666207.0700000003</v>
      </c>
      <c r="C70" s="41">
        <f>SUM(C66:C69)</f>
        <v>2362675.8000000003</v>
      </c>
      <c r="D70" s="41">
        <f>SUM(D66:D69)</f>
        <v>2808495.54</v>
      </c>
      <c r="E70" s="54"/>
      <c r="F70" s="41">
        <f>SUM(F66:F69)</f>
        <v>0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</row>
    <row r="71" spans="1:231" ht="15.75" customHeight="1" x14ac:dyDescent="0.25">
      <c r="A71" s="32"/>
      <c r="B71" s="47"/>
      <c r="C71" s="47"/>
      <c r="D71" s="47"/>
      <c r="E71" s="59"/>
      <c r="F71" s="47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</row>
    <row r="72" spans="1:231" ht="16.5" customHeight="1" thickBot="1" x14ac:dyDescent="0.3">
      <c r="A72" s="33" t="s">
        <v>149</v>
      </c>
      <c r="B72" s="48">
        <f>B70+B63+B57</f>
        <v>3941317.0300000003</v>
      </c>
      <c r="C72" s="48">
        <f>C70+C63+C57</f>
        <v>3245448.8000000003</v>
      </c>
      <c r="D72" s="48">
        <f>D70+D63+D57</f>
        <v>3241559.73</v>
      </c>
      <c r="E72" s="60"/>
      <c r="F72" s="48">
        <f>F70+F63+F57</f>
        <v>0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</row>
    <row r="74" spans="1:231" ht="15.75" customHeight="1" x14ac:dyDescent="0.25">
      <c r="A74" s="908"/>
      <c r="B74" s="908"/>
      <c r="C74" s="908"/>
      <c r="D74" s="908"/>
      <c r="E74" s="908"/>
      <c r="F74" s="908"/>
    </row>
    <row r="75" spans="1:231" ht="15.75" customHeight="1" x14ac:dyDescent="0.25">
      <c r="A75" s="908"/>
      <c r="B75" s="908"/>
      <c r="C75" s="908"/>
      <c r="D75" s="908"/>
      <c r="E75" s="908"/>
      <c r="F75" s="908"/>
    </row>
    <row r="76" spans="1:231" ht="15.75" customHeight="1" x14ac:dyDescent="0.25">
      <c r="A76" s="908"/>
      <c r="B76" s="908"/>
      <c r="C76" s="908"/>
      <c r="D76" s="908"/>
      <c r="E76" s="908"/>
      <c r="F76" s="908"/>
    </row>
    <row r="77" spans="1:231" ht="15.75" customHeight="1" x14ac:dyDescent="0.25">
      <c r="A77" s="908"/>
      <c r="B77" s="908"/>
      <c r="C77" s="908"/>
      <c r="D77" s="908"/>
      <c r="E77" s="908"/>
      <c r="F77" s="908"/>
    </row>
    <row r="78" spans="1:231" ht="15.75" customHeight="1" x14ac:dyDescent="0.25">
      <c r="A78" s="908"/>
      <c r="B78" s="908"/>
      <c r="C78" s="908"/>
      <c r="D78" s="908"/>
      <c r="E78" s="908"/>
      <c r="F78" s="908"/>
    </row>
  </sheetData>
  <mergeCells count="8">
    <mergeCell ref="G18:U20"/>
    <mergeCell ref="A74:F78"/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pageSetup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84"/>
  <sheetViews>
    <sheetView view="pageBreakPreview" topLeftCell="H1" zoomScale="80" zoomScaleNormal="100" zoomScaleSheetLayoutView="80" workbookViewId="0">
      <selection activeCell="AE1" sqref="AE1:AE1048576"/>
    </sheetView>
  </sheetViews>
  <sheetFormatPr defaultRowHeight="15" x14ac:dyDescent="0.25"/>
  <cols>
    <col min="1" max="1" width="53.42578125" style="8" customWidth="1"/>
    <col min="2" max="3" width="14.140625" style="8" customWidth="1"/>
    <col min="4" max="4" width="13.140625" style="8" customWidth="1"/>
    <col min="5" max="5" width="7.42578125" style="8" customWidth="1"/>
    <col min="6" max="6" width="1" style="8" customWidth="1"/>
    <col min="7" max="7" width="14.5703125" style="8" customWidth="1"/>
    <col min="8" max="8" width="17.5703125" style="8" customWidth="1"/>
    <col min="9" max="9" width="14.5703125" style="8" customWidth="1"/>
    <col min="10" max="10" width="7.85546875" style="8" customWidth="1"/>
    <col min="11" max="11" width="1.140625" style="8" customWidth="1"/>
    <col min="12" max="12" width="14" style="8" hidden="1" customWidth="1"/>
    <col min="13" max="13" width="14.140625" style="8" hidden="1" customWidth="1"/>
    <col min="14" max="14" width="12.85546875" style="8" hidden="1" customWidth="1"/>
    <col min="15" max="15" width="6.85546875" style="8" hidden="1" customWidth="1"/>
    <col min="16" max="16" width="1" style="8" hidden="1" customWidth="1"/>
    <col min="17" max="17" width="13.85546875" style="8" hidden="1" customWidth="1"/>
    <col min="18" max="18" width="13.140625" style="8" hidden="1" customWidth="1"/>
    <col min="19" max="19" width="12.85546875" style="8" hidden="1" customWidth="1"/>
    <col min="20" max="20" width="7.7109375" style="8" hidden="1" customWidth="1"/>
    <col min="21" max="21" width="1.28515625" style="8" hidden="1" customWidth="1"/>
    <col min="22" max="22" width="17.42578125" style="8" customWidth="1"/>
    <col min="23" max="23" width="18.85546875" style="8" customWidth="1"/>
    <col min="24" max="24" width="13" style="8" customWidth="1"/>
    <col min="25" max="25" width="7.28515625" style="8" customWidth="1"/>
    <col min="26" max="26" width="1" style="8" customWidth="1"/>
    <col min="27" max="27" width="16.28515625" style="8" customWidth="1"/>
    <col min="28" max="28" width="13.7109375" style="8" customWidth="1"/>
    <col min="29" max="29" width="7" style="8" customWidth="1"/>
    <col min="30" max="30" width="1" style="8" customWidth="1"/>
    <col min="31" max="31" width="66.42578125" style="8" hidden="1" customWidth="1"/>
  </cols>
  <sheetData>
    <row r="1" spans="1:31" ht="18.75" x14ac:dyDescent="0.25">
      <c r="A1" s="263" t="s">
        <v>0</v>
      </c>
      <c r="B1" s="262"/>
      <c r="C1" s="262"/>
      <c r="D1" s="262"/>
      <c r="E1" s="262"/>
      <c r="F1" s="262"/>
      <c r="G1" s="262"/>
      <c r="H1" s="262"/>
      <c r="I1" s="112"/>
      <c r="J1" s="112"/>
      <c r="K1" s="1"/>
      <c r="L1" s="1"/>
      <c r="M1" s="1"/>
      <c r="N1" s="1"/>
      <c r="O1" s="1"/>
      <c r="P1" s="62"/>
      <c r="Q1" s="112"/>
      <c r="R1" s="113"/>
      <c r="S1" s="114"/>
      <c r="T1" s="113"/>
      <c r="U1" s="62"/>
      <c r="V1" s="62"/>
      <c r="W1" s="62"/>
      <c r="X1" s="62"/>
      <c r="Y1" s="62"/>
      <c r="Z1" s="62"/>
      <c r="AA1" s="62"/>
      <c r="AB1" s="62"/>
      <c r="AC1" s="62"/>
      <c r="AD1" s="62"/>
      <c r="AE1" s="63"/>
    </row>
    <row r="2" spans="1:31" ht="18.75" x14ac:dyDescent="0.25">
      <c r="A2" s="125"/>
      <c r="B2" s="126"/>
      <c r="C2" s="126"/>
      <c r="D2" s="126"/>
      <c r="E2" s="126"/>
      <c r="F2" s="126"/>
      <c r="G2" s="126"/>
      <c r="H2" s="126"/>
      <c r="I2" s="115"/>
      <c r="J2" s="115"/>
      <c r="K2" s="4"/>
      <c r="L2" s="5"/>
      <c r="M2" s="5"/>
      <c r="N2" s="5"/>
      <c r="O2" s="5"/>
      <c r="P2" s="4"/>
      <c r="Q2" s="115"/>
      <c r="R2" s="116"/>
      <c r="S2" s="117"/>
      <c r="T2" s="116"/>
      <c r="U2" s="4"/>
      <c r="V2" s="65"/>
      <c r="W2" s="65"/>
      <c r="X2" s="65"/>
      <c r="Y2" s="65"/>
      <c r="Z2" s="4"/>
      <c r="AA2" s="65"/>
      <c r="AB2" s="65"/>
      <c r="AC2" s="65"/>
      <c r="AD2" s="4"/>
      <c r="AE2" s="66"/>
    </row>
    <row r="3" spans="1:31" s="100" customFormat="1" ht="18.75" x14ac:dyDescent="0.25">
      <c r="A3" s="258" t="s">
        <v>207</v>
      </c>
      <c r="B3" s="257"/>
      <c r="C3" s="257"/>
      <c r="D3" s="257"/>
      <c r="E3" s="257"/>
      <c r="F3" s="257"/>
      <c r="G3" s="257"/>
      <c r="H3" s="257"/>
      <c r="I3" s="118"/>
      <c r="J3" s="118"/>
      <c r="K3" s="97"/>
      <c r="L3" s="97"/>
      <c r="M3" s="97"/>
      <c r="N3" s="97"/>
      <c r="O3" s="97"/>
      <c r="P3" s="98"/>
      <c r="Q3" s="118"/>
      <c r="R3" s="119"/>
      <c r="S3" s="120"/>
      <c r="T3" s="119"/>
      <c r="U3" s="98"/>
      <c r="V3" s="98"/>
      <c r="W3" s="98"/>
      <c r="X3" s="98"/>
      <c r="Y3" s="98"/>
      <c r="Z3" s="98"/>
      <c r="AA3" s="98"/>
      <c r="AB3" s="98"/>
      <c r="AC3" s="98"/>
      <c r="AD3" s="98"/>
      <c r="AE3" s="99"/>
    </row>
    <row r="4" spans="1:31" ht="18.75" x14ac:dyDescent="0.25">
      <c r="A4" s="260" t="s">
        <v>2</v>
      </c>
      <c r="B4" s="261"/>
      <c r="C4" s="261"/>
      <c r="D4" s="261"/>
      <c r="E4" s="261"/>
      <c r="F4" s="261"/>
      <c r="G4" s="261"/>
      <c r="H4" s="261"/>
      <c r="I4" s="127"/>
      <c r="J4" s="127"/>
      <c r="K4" s="67"/>
      <c r="L4" s="67"/>
      <c r="M4" s="67"/>
      <c r="N4" s="67"/>
      <c r="O4" s="67"/>
      <c r="P4" s="65"/>
      <c r="Q4" s="121"/>
      <c r="R4" s="122"/>
      <c r="S4" s="117"/>
      <c r="T4" s="122"/>
      <c r="U4" s="65"/>
      <c r="V4" s="65"/>
      <c r="W4" s="65"/>
      <c r="X4" s="65"/>
      <c r="Y4" s="65"/>
      <c r="Z4" s="65"/>
      <c r="AA4" s="65"/>
      <c r="AB4" s="68"/>
      <c r="AC4" s="65"/>
      <c r="AD4" s="65"/>
      <c r="AE4" s="66"/>
    </row>
    <row r="5" spans="1:31" ht="18.75" x14ac:dyDescent="0.25">
      <c r="A5" s="260" t="s">
        <v>3</v>
      </c>
      <c r="B5" s="126"/>
      <c r="C5" s="126"/>
      <c r="D5" s="126"/>
      <c r="E5" s="126"/>
      <c r="F5" s="126"/>
      <c r="G5" s="126"/>
      <c r="H5" s="126"/>
      <c r="I5" s="115"/>
      <c r="J5" s="115"/>
      <c r="K5" s="67"/>
      <c r="L5" s="67"/>
      <c r="M5" s="67"/>
      <c r="N5" s="67"/>
      <c r="O5" s="67"/>
      <c r="P5" s="65"/>
      <c r="Q5" s="121"/>
      <c r="R5" s="122"/>
      <c r="S5" s="117"/>
      <c r="T5" s="122"/>
      <c r="U5" s="65"/>
      <c r="V5" s="65"/>
      <c r="W5" s="65"/>
      <c r="X5" s="65"/>
      <c r="Y5" s="65"/>
      <c r="Z5" s="65"/>
      <c r="AA5" s="65"/>
      <c r="AB5" s="68"/>
      <c r="AC5" s="65"/>
      <c r="AD5" s="65"/>
      <c r="AE5" s="66"/>
    </row>
    <row r="6" spans="1:31" s="100" customFormat="1" ht="18.75" x14ac:dyDescent="0.25">
      <c r="A6" s="258" t="s">
        <v>4</v>
      </c>
      <c r="B6" s="259"/>
      <c r="C6" s="259"/>
      <c r="D6" s="259"/>
      <c r="E6" s="259"/>
      <c r="F6" s="259"/>
      <c r="G6" s="259"/>
      <c r="H6" s="259"/>
      <c r="I6" s="118"/>
      <c r="J6" s="118"/>
      <c r="K6" s="101"/>
      <c r="L6" s="101"/>
      <c r="M6" s="101"/>
      <c r="N6" s="101"/>
      <c r="O6" s="101"/>
      <c r="P6" s="98"/>
      <c r="Q6" s="123"/>
      <c r="R6" s="124"/>
      <c r="S6" s="120"/>
      <c r="T6" s="124"/>
      <c r="U6" s="98"/>
      <c r="V6" s="98"/>
      <c r="W6" s="98"/>
      <c r="X6" s="98"/>
      <c r="Y6" s="98"/>
      <c r="Z6" s="98"/>
      <c r="AA6" s="102"/>
      <c r="AB6" s="103"/>
      <c r="AC6" s="98"/>
      <c r="AD6" s="98"/>
      <c r="AE6" s="99"/>
    </row>
    <row r="7" spans="1:31" s="100" customFormat="1" ht="18.75" x14ac:dyDescent="0.25">
      <c r="A7" s="258" t="s">
        <v>5</v>
      </c>
      <c r="B7" s="257"/>
      <c r="C7" s="257"/>
      <c r="D7" s="257"/>
      <c r="E7" s="257"/>
      <c r="F7" s="257"/>
      <c r="G7" s="257"/>
      <c r="H7" s="257"/>
      <c r="I7" s="128"/>
      <c r="J7" s="128"/>
      <c r="K7" s="101"/>
      <c r="L7" s="101"/>
      <c r="M7" s="101"/>
      <c r="N7" s="101"/>
      <c r="O7" s="101"/>
      <c r="P7" s="98"/>
      <c r="Q7" s="123"/>
      <c r="R7" s="124"/>
      <c r="S7" s="120"/>
      <c r="T7" s="124"/>
      <c r="U7" s="98"/>
      <c r="V7" s="98"/>
      <c r="W7" s="98"/>
      <c r="X7" s="98"/>
      <c r="Y7" s="98"/>
      <c r="Z7" s="98"/>
      <c r="AA7" s="98"/>
      <c r="AB7" s="256"/>
      <c r="AC7" s="98"/>
      <c r="AD7" s="98"/>
      <c r="AE7" s="99"/>
    </row>
    <row r="8" spans="1:31" ht="27" thickBot="1" x14ac:dyDescent="0.3">
      <c r="A8" s="69"/>
      <c r="B8" s="168"/>
      <c r="C8" s="65"/>
      <c r="D8" s="65"/>
      <c r="E8" s="65"/>
      <c r="F8" s="70"/>
      <c r="G8" s="65"/>
      <c r="H8" s="65"/>
      <c r="I8" s="65"/>
      <c r="J8" s="65"/>
      <c r="K8" s="70"/>
      <c r="L8" s="65"/>
      <c r="M8" s="65"/>
      <c r="N8" s="65"/>
      <c r="O8" s="65"/>
      <c r="P8" s="70"/>
      <c r="Q8" s="65"/>
      <c r="R8" s="65"/>
      <c r="S8" s="235"/>
      <c r="T8" s="65"/>
      <c r="U8" s="70"/>
      <c r="V8" s="65"/>
      <c r="W8" s="65"/>
      <c r="X8" s="65"/>
      <c r="Y8" s="65"/>
      <c r="Z8" s="70"/>
      <c r="AA8" s="65"/>
      <c r="AB8" s="68"/>
      <c r="AC8" s="65"/>
      <c r="AD8" s="70"/>
      <c r="AE8" s="71"/>
    </row>
    <row r="9" spans="1:31" ht="15.75" x14ac:dyDescent="0.25">
      <c r="A9" s="140"/>
      <c r="B9" s="852" t="s">
        <v>6</v>
      </c>
      <c r="C9" s="853"/>
      <c r="D9" s="853"/>
      <c r="E9" s="854"/>
      <c r="F9" s="200"/>
      <c r="G9" s="852" t="s">
        <v>7</v>
      </c>
      <c r="H9" s="853"/>
      <c r="I9" s="853"/>
      <c r="J9" s="854"/>
      <c r="K9" s="200"/>
      <c r="L9" s="855" t="s">
        <v>8</v>
      </c>
      <c r="M9" s="856"/>
      <c r="N9" s="856"/>
      <c r="O9" s="857"/>
      <c r="P9" s="200"/>
      <c r="Q9" s="852" t="s">
        <v>9</v>
      </c>
      <c r="R9" s="853"/>
      <c r="S9" s="853"/>
      <c r="T9" s="854"/>
      <c r="U9" s="200"/>
      <c r="V9" s="855" t="s">
        <v>10</v>
      </c>
      <c r="W9" s="856"/>
      <c r="X9" s="856"/>
      <c r="Y9" s="857"/>
      <c r="Z9" s="200"/>
      <c r="AA9" s="855" t="s">
        <v>11</v>
      </c>
      <c r="AB9" s="856"/>
      <c r="AC9" s="857"/>
      <c r="AD9" s="158"/>
      <c r="AE9" s="847" t="s">
        <v>12</v>
      </c>
    </row>
    <row r="10" spans="1:31" ht="31.5" x14ac:dyDescent="0.25">
      <c r="A10" s="141" t="s">
        <v>13</v>
      </c>
      <c r="B10" s="169" t="s">
        <v>14</v>
      </c>
      <c r="C10" s="104" t="s">
        <v>15</v>
      </c>
      <c r="D10" s="850" t="s">
        <v>16</v>
      </c>
      <c r="E10" s="851"/>
      <c r="F10" s="201"/>
      <c r="G10" s="169" t="s">
        <v>14</v>
      </c>
      <c r="H10" s="104" t="s">
        <v>15</v>
      </c>
      <c r="I10" s="850" t="s">
        <v>16</v>
      </c>
      <c r="J10" s="851"/>
      <c r="K10" s="201"/>
      <c r="L10" s="169" t="s">
        <v>14</v>
      </c>
      <c r="M10" s="104" t="s">
        <v>15</v>
      </c>
      <c r="N10" s="850" t="s">
        <v>16</v>
      </c>
      <c r="O10" s="851"/>
      <c r="P10" s="201"/>
      <c r="Q10" s="169" t="s">
        <v>14</v>
      </c>
      <c r="R10" s="104" t="s">
        <v>15</v>
      </c>
      <c r="S10" s="850" t="s">
        <v>16</v>
      </c>
      <c r="T10" s="851"/>
      <c r="U10" s="201"/>
      <c r="V10" s="169" t="s">
        <v>14</v>
      </c>
      <c r="W10" s="104" t="s">
        <v>15</v>
      </c>
      <c r="X10" s="850" t="s">
        <v>16</v>
      </c>
      <c r="Y10" s="851"/>
      <c r="Z10" s="201"/>
      <c r="AA10" s="247" t="s">
        <v>17</v>
      </c>
      <c r="AB10" s="850" t="s">
        <v>18</v>
      </c>
      <c r="AC10" s="851"/>
      <c r="AD10" s="159"/>
      <c r="AE10" s="848"/>
    </row>
    <row r="11" spans="1:31" ht="16.5" thickBot="1" x14ac:dyDescent="0.3">
      <c r="A11" s="142"/>
      <c r="B11" s="170" t="s">
        <v>19</v>
      </c>
      <c r="C11" s="105" t="s">
        <v>19</v>
      </c>
      <c r="D11" s="106" t="s">
        <v>19</v>
      </c>
      <c r="E11" s="171" t="s">
        <v>20</v>
      </c>
      <c r="F11" s="202"/>
      <c r="G11" s="209" t="s">
        <v>19</v>
      </c>
      <c r="H11" s="107" t="s">
        <v>19</v>
      </c>
      <c r="I11" s="108" t="s">
        <v>19</v>
      </c>
      <c r="J11" s="210" t="s">
        <v>20</v>
      </c>
      <c r="K11" s="202"/>
      <c r="L11" s="209" t="s">
        <v>19</v>
      </c>
      <c r="M11" s="107" t="s">
        <v>19</v>
      </c>
      <c r="N11" s="108" t="s">
        <v>19</v>
      </c>
      <c r="O11" s="210" t="s">
        <v>20</v>
      </c>
      <c r="P11" s="202"/>
      <c r="Q11" s="209" t="s">
        <v>19</v>
      </c>
      <c r="R11" s="107" t="s">
        <v>19</v>
      </c>
      <c r="S11" s="108" t="s">
        <v>19</v>
      </c>
      <c r="T11" s="210" t="s">
        <v>20</v>
      </c>
      <c r="U11" s="202"/>
      <c r="V11" s="209" t="s">
        <v>19</v>
      </c>
      <c r="W11" s="107" t="s">
        <v>19</v>
      </c>
      <c r="X11" s="108" t="s">
        <v>19</v>
      </c>
      <c r="Y11" s="210" t="s">
        <v>20</v>
      </c>
      <c r="Z11" s="202"/>
      <c r="AA11" s="209" t="s">
        <v>19</v>
      </c>
      <c r="AB11" s="108" t="s">
        <v>19</v>
      </c>
      <c r="AC11" s="210" t="s">
        <v>20</v>
      </c>
      <c r="AD11" s="160"/>
      <c r="AE11" s="849"/>
    </row>
    <row r="12" spans="1:31" ht="15.75" x14ac:dyDescent="0.25">
      <c r="A12" s="143" t="s">
        <v>21</v>
      </c>
      <c r="B12" s="172"/>
      <c r="C12" s="72"/>
      <c r="D12" s="72"/>
      <c r="E12" s="173"/>
      <c r="F12" s="203"/>
      <c r="G12" s="184"/>
      <c r="H12" s="73"/>
      <c r="I12" s="73"/>
      <c r="J12" s="185"/>
      <c r="K12" s="203"/>
      <c r="L12" s="184"/>
      <c r="M12" s="73"/>
      <c r="N12" s="73"/>
      <c r="O12" s="185"/>
      <c r="P12" s="203"/>
      <c r="Q12" s="184"/>
      <c r="R12" s="73"/>
      <c r="S12" s="73"/>
      <c r="T12" s="185"/>
      <c r="U12" s="203"/>
      <c r="V12" s="184"/>
      <c r="W12" s="73"/>
      <c r="X12" s="73"/>
      <c r="Y12" s="185"/>
      <c r="Z12" s="203"/>
      <c r="AA12" s="184"/>
      <c r="AB12" s="73"/>
      <c r="AC12" s="185"/>
      <c r="AD12" s="161"/>
      <c r="AE12" s="74"/>
    </row>
    <row r="13" spans="1:31" ht="15.75" x14ac:dyDescent="0.25">
      <c r="A13" s="144" t="s">
        <v>151</v>
      </c>
      <c r="B13" s="174">
        <v>0</v>
      </c>
      <c r="C13" s="75">
        <v>0</v>
      </c>
      <c r="D13" s="76">
        <f t="shared" ref="D13:D22" si="0">C13-B13</f>
        <v>0</v>
      </c>
      <c r="E13" s="175" t="str">
        <f t="shared" ref="E13:E23" si="1">IF(ISERROR(D13/B13),"-",D13/B13)</f>
        <v>-</v>
      </c>
      <c r="F13" s="204"/>
      <c r="G13" s="174">
        <v>0</v>
      </c>
      <c r="H13" s="75">
        <v>0</v>
      </c>
      <c r="I13" s="76">
        <f t="shared" ref="I13:I22" si="2">H13-G13</f>
        <v>0</v>
      </c>
      <c r="J13" s="175" t="str">
        <f t="shared" ref="J13:J23" si="3">IF(ISERROR(I13/G13),"-",I13/G13)</f>
        <v>-</v>
      </c>
      <c r="K13" s="204"/>
      <c r="L13" s="174">
        <v>0</v>
      </c>
      <c r="M13" s="75">
        <v>0</v>
      </c>
      <c r="N13" s="76">
        <f t="shared" ref="N13:N22" si="4">M13-L13</f>
        <v>0</v>
      </c>
      <c r="O13" s="175" t="str">
        <f t="shared" ref="O13:O23" si="5">IF(ISERROR(N13/L13),"-",N13/L13)</f>
        <v>-</v>
      </c>
      <c r="P13" s="204"/>
      <c r="Q13" s="174">
        <v>0</v>
      </c>
      <c r="R13" s="75">
        <v>0</v>
      </c>
      <c r="S13" s="76">
        <f t="shared" ref="S13:S22" si="6">R13-Q13</f>
        <v>0</v>
      </c>
      <c r="T13" s="175" t="str">
        <f t="shared" ref="T13:T27" si="7">IF(ISERROR(S13/Q13),"-",S13/Q13)</f>
        <v>-</v>
      </c>
      <c r="U13" s="204"/>
      <c r="V13" s="181">
        <f t="shared" ref="V13:V22" si="8">B13+G13+L13+Q13</f>
        <v>0</v>
      </c>
      <c r="W13" s="76">
        <f t="shared" ref="W13:W22" si="9">C13+H13+M13+R13</f>
        <v>0</v>
      </c>
      <c r="X13" s="76">
        <f t="shared" ref="X13:X22" si="10">W13-V13</f>
        <v>0</v>
      </c>
      <c r="Y13" s="175" t="str">
        <f t="shared" ref="Y13:Y23" si="11">IF(ISERROR(X13/V13),"-",X13/V13)</f>
        <v>-</v>
      </c>
      <c r="Z13" s="204"/>
      <c r="AA13" s="181">
        <v>0</v>
      </c>
      <c r="AB13" s="76">
        <f t="shared" ref="AB13:AB22" si="12">AA13-W13</f>
        <v>0</v>
      </c>
      <c r="AC13" s="175" t="str">
        <f t="shared" ref="AC13:AC23" si="13">IF(ISERROR(AB13/AA13),"-",AB13/AA13)</f>
        <v>-</v>
      </c>
      <c r="AD13" s="162"/>
      <c r="AE13" s="77"/>
    </row>
    <row r="14" spans="1:31" ht="15.75" x14ac:dyDescent="0.25">
      <c r="A14" s="145" t="s">
        <v>152</v>
      </c>
      <c r="B14" s="174">
        <v>2130775</v>
      </c>
      <c r="C14" s="75">
        <v>2009568</v>
      </c>
      <c r="D14" s="76">
        <f t="shared" si="0"/>
        <v>-121207</v>
      </c>
      <c r="E14" s="175">
        <f t="shared" si="1"/>
        <v>-5.6883997606504678E-2</v>
      </c>
      <c r="F14" s="205"/>
      <c r="G14" s="174">
        <v>14785</v>
      </c>
      <c r="H14" s="75">
        <v>204637</v>
      </c>
      <c r="I14" s="76">
        <f t="shared" si="2"/>
        <v>189852</v>
      </c>
      <c r="J14" s="175">
        <f t="shared" si="3"/>
        <v>12.840852215082855</v>
      </c>
      <c r="K14" s="205"/>
      <c r="L14" s="174">
        <v>0</v>
      </c>
      <c r="M14" s="75">
        <v>0</v>
      </c>
      <c r="N14" s="76">
        <f t="shared" si="4"/>
        <v>0</v>
      </c>
      <c r="O14" s="175" t="str">
        <f t="shared" si="5"/>
        <v>-</v>
      </c>
      <c r="P14" s="205"/>
      <c r="Q14" s="174">
        <v>0</v>
      </c>
      <c r="R14" s="75">
        <v>0</v>
      </c>
      <c r="S14" s="76">
        <f t="shared" si="6"/>
        <v>0</v>
      </c>
      <c r="T14" s="175" t="str">
        <f t="shared" si="7"/>
        <v>-</v>
      </c>
      <c r="U14" s="205"/>
      <c r="V14" s="181">
        <f t="shared" si="8"/>
        <v>2145560</v>
      </c>
      <c r="W14" s="76">
        <f t="shared" si="9"/>
        <v>2214205</v>
      </c>
      <c r="X14" s="76">
        <f t="shared" si="10"/>
        <v>68645</v>
      </c>
      <c r="Y14" s="175">
        <f t="shared" si="11"/>
        <v>3.1993978262085422E-2</v>
      </c>
      <c r="Z14" s="205"/>
      <c r="AA14" s="181">
        <f>2264889.15</f>
        <v>2264889.15</v>
      </c>
      <c r="AB14" s="76">
        <f t="shared" si="12"/>
        <v>50684.149999999907</v>
      </c>
      <c r="AC14" s="175">
        <f t="shared" si="13"/>
        <v>2.2378203365935108E-2</v>
      </c>
      <c r="AD14" s="163"/>
      <c r="AE14" s="78"/>
    </row>
    <row r="15" spans="1:31" ht="15.75" x14ac:dyDescent="0.25">
      <c r="A15" s="145" t="s">
        <v>24</v>
      </c>
      <c r="B15" s="174">
        <v>0</v>
      </c>
      <c r="C15" s="75">
        <v>0</v>
      </c>
      <c r="D15" s="76">
        <f t="shared" si="0"/>
        <v>0</v>
      </c>
      <c r="E15" s="176" t="str">
        <f t="shared" si="1"/>
        <v>-</v>
      </c>
      <c r="F15" s="204"/>
      <c r="G15" s="174">
        <v>0</v>
      </c>
      <c r="H15" s="75">
        <v>6269.02</v>
      </c>
      <c r="I15" s="76">
        <f t="shared" si="2"/>
        <v>6269.02</v>
      </c>
      <c r="J15" s="176" t="str">
        <f t="shared" si="3"/>
        <v>-</v>
      </c>
      <c r="K15" s="204"/>
      <c r="L15" s="174">
        <v>0</v>
      </c>
      <c r="M15" s="75">
        <v>0</v>
      </c>
      <c r="N15" s="76">
        <f t="shared" si="4"/>
        <v>0</v>
      </c>
      <c r="O15" s="176" t="str">
        <f t="shared" si="5"/>
        <v>-</v>
      </c>
      <c r="P15" s="204"/>
      <c r="Q15" s="174">
        <v>0</v>
      </c>
      <c r="R15" s="75">
        <v>0</v>
      </c>
      <c r="S15" s="76">
        <f t="shared" si="6"/>
        <v>0</v>
      </c>
      <c r="T15" s="176" t="str">
        <f t="shared" si="7"/>
        <v>-</v>
      </c>
      <c r="U15" s="204"/>
      <c r="V15" s="181">
        <f t="shared" si="8"/>
        <v>0</v>
      </c>
      <c r="W15" s="76">
        <f t="shared" si="9"/>
        <v>6269.02</v>
      </c>
      <c r="X15" s="76">
        <f t="shared" si="10"/>
        <v>6269.02</v>
      </c>
      <c r="Y15" s="176" t="str">
        <f t="shared" si="11"/>
        <v>-</v>
      </c>
      <c r="Z15" s="204"/>
      <c r="AA15" s="181">
        <v>0</v>
      </c>
      <c r="AB15" s="76">
        <f t="shared" si="12"/>
        <v>-6269.02</v>
      </c>
      <c r="AC15" s="176" t="str">
        <f t="shared" si="13"/>
        <v>-</v>
      </c>
      <c r="AD15" s="162"/>
      <c r="AE15" s="77"/>
    </row>
    <row r="16" spans="1:31" ht="15.75" x14ac:dyDescent="0.25">
      <c r="A16" s="145" t="s">
        <v>25</v>
      </c>
      <c r="B16" s="174">
        <v>0</v>
      </c>
      <c r="C16" s="75">
        <v>0</v>
      </c>
      <c r="D16" s="76">
        <f t="shared" si="0"/>
        <v>0</v>
      </c>
      <c r="E16" s="175" t="str">
        <f t="shared" si="1"/>
        <v>-</v>
      </c>
      <c r="F16" s="204"/>
      <c r="G16" s="174">
        <v>0</v>
      </c>
      <c r="H16" s="75">
        <v>0</v>
      </c>
      <c r="I16" s="76">
        <f t="shared" si="2"/>
        <v>0</v>
      </c>
      <c r="J16" s="175" t="str">
        <f t="shared" si="3"/>
        <v>-</v>
      </c>
      <c r="K16" s="204"/>
      <c r="L16" s="174">
        <v>0</v>
      </c>
      <c r="M16" s="75">
        <v>0</v>
      </c>
      <c r="N16" s="76">
        <f t="shared" si="4"/>
        <v>0</v>
      </c>
      <c r="O16" s="175" t="str">
        <f t="shared" si="5"/>
        <v>-</v>
      </c>
      <c r="P16" s="204"/>
      <c r="Q16" s="174">
        <v>0</v>
      </c>
      <c r="R16" s="75">
        <v>0</v>
      </c>
      <c r="S16" s="76">
        <f t="shared" si="6"/>
        <v>0</v>
      </c>
      <c r="T16" s="175" t="str">
        <f t="shared" si="7"/>
        <v>-</v>
      </c>
      <c r="U16" s="204"/>
      <c r="V16" s="181">
        <f t="shared" si="8"/>
        <v>0</v>
      </c>
      <c r="W16" s="76">
        <f t="shared" si="9"/>
        <v>0</v>
      </c>
      <c r="X16" s="76">
        <f t="shared" si="10"/>
        <v>0</v>
      </c>
      <c r="Y16" s="175" t="str">
        <f t="shared" si="11"/>
        <v>-</v>
      </c>
      <c r="Z16" s="204"/>
      <c r="AA16" s="181">
        <v>0</v>
      </c>
      <c r="AB16" s="76">
        <f t="shared" si="12"/>
        <v>0</v>
      </c>
      <c r="AC16" s="175" t="str">
        <f t="shared" si="13"/>
        <v>-</v>
      </c>
      <c r="AD16" s="162"/>
      <c r="AE16" s="77"/>
    </row>
    <row r="17" spans="1:31" ht="15.75" x14ac:dyDescent="0.25">
      <c r="A17" s="145" t="s">
        <v>26</v>
      </c>
      <c r="B17" s="174">
        <v>0</v>
      </c>
      <c r="C17" s="75">
        <v>0</v>
      </c>
      <c r="D17" s="76">
        <f t="shared" si="0"/>
        <v>0</v>
      </c>
      <c r="E17" s="175" t="str">
        <f t="shared" si="1"/>
        <v>-</v>
      </c>
      <c r="F17" s="204"/>
      <c r="G17" s="174">
        <v>0</v>
      </c>
      <c r="H17" s="75">
        <v>0</v>
      </c>
      <c r="I17" s="76">
        <f t="shared" si="2"/>
        <v>0</v>
      </c>
      <c r="J17" s="175" t="str">
        <f t="shared" si="3"/>
        <v>-</v>
      </c>
      <c r="K17" s="204"/>
      <c r="L17" s="174">
        <v>0</v>
      </c>
      <c r="M17" s="75">
        <v>0</v>
      </c>
      <c r="N17" s="76">
        <f t="shared" si="4"/>
        <v>0</v>
      </c>
      <c r="O17" s="175" t="str">
        <f t="shared" si="5"/>
        <v>-</v>
      </c>
      <c r="P17" s="204"/>
      <c r="Q17" s="174">
        <v>0</v>
      </c>
      <c r="R17" s="75">
        <v>0</v>
      </c>
      <c r="S17" s="76">
        <f t="shared" si="6"/>
        <v>0</v>
      </c>
      <c r="T17" s="175" t="str">
        <f t="shared" si="7"/>
        <v>-</v>
      </c>
      <c r="U17" s="204"/>
      <c r="V17" s="181">
        <f t="shared" si="8"/>
        <v>0</v>
      </c>
      <c r="W17" s="76">
        <f t="shared" si="9"/>
        <v>0</v>
      </c>
      <c r="X17" s="76">
        <f t="shared" si="10"/>
        <v>0</v>
      </c>
      <c r="Y17" s="175" t="str">
        <f t="shared" si="11"/>
        <v>-</v>
      </c>
      <c r="Z17" s="204"/>
      <c r="AA17" s="181">
        <v>0</v>
      </c>
      <c r="AB17" s="76">
        <f t="shared" si="12"/>
        <v>0</v>
      </c>
      <c r="AC17" s="175" t="str">
        <f t="shared" si="13"/>
        <v>-</v>
      </c>
      <c r="AD17" s="162"/>
      <c r="AE17" s="78"/>
    </row>
    <row r="18" spans="1:31" ht="15.75" x14ac:dyDescent="0.25">
      <c r="A18" s="145" t="s">
        <v>27</v>
      </c>
      <c r="B18" s="174">
        <v>0</v>
      </c>
      <c r="C18" s="75">
        <v>0</v>
      </c>
      <c r="D18" s="76">
        <f t="shared" si="0"/>
        <v>0</v>
      </c>
      <c r="E18" s="176" t="str">
        <f t="shared" si="1"/>
        <v>-</v>
      </c>
      <c r="F18" s="204"/>
      <c r="G18" s="174">
        <v>0</v>
      </c>
      <c r="H18" s="75">
        <v>0</v>
      </c>
      <c r="I18" s="76">
        <f t="shared" si="2"/>
        <v>0</v>
      </c>
      <c r="J18" s="176" t="str">
        <f t="shared" si="3"/>
        <v>-</v>
      </c>
      <c r="K18" s="204"/>
      <c r="L18" s="174">
        <v>0</v>
      </c>
      <c r="M18" s="75">
        <v>0</v>
      </c>
      <c r="N18" s="76">
        <f t="shared" si="4"/>
        <v>0</v>
      </c>
      <c r="O18" s="176" t="str">
        <f t="shared" si="5"/>
        <v>-</v>
      </c>
      <c r="P18" s="204"/>
      <c r="Q18" s="174">
        <v>0</v>
      </c>
      <c r="R18" s="75">
        <v>0</v>
      </c>
      <c r="S18" s="76">
        <f t="shared" si="6"/>
        <v>0</v>
      </c>
      <c r="T18" s="176" t="str">
        <f t="shared" si="7"/>
        <v>-</v>
      </c>
      <c r="U18" s="204"/>
      <c r="V18" s="181">
        <f t="shared" si="8"/>
        <v>0</v>
      </c>
      <c r="W18" s="76">
        <f t="shared" si="9"/>
        <v>0</v>
      </c>
      <c r="X18" s="76">
        <f t="shared" si="10"/>
        <v>0</v>
      </c>
      <c r="Y18" s="176" t="str">
        <f t="shared" si="11"/>
        <v>-</v>
      </c>
      <c r="Z18" s="204"/>
      <c r="AA18" s="181">
        <v>0</v>
      </c>
      <c r="AB18" s="76">
        <f t="shared" si="12"/>
        <v>0</v>
      </c>
      <c r="AC18" s="176" t="str">
        <f t="shared" si="13"/>
        <v>-</v>
      </c>
      <c r="AD18" s="162"/>
      <c r="AE18" s="77"/>
    </row>
    <row r="19" spans="1:31" ht="15.75" x14ac:dyDescent="0.25">
      <c r="A19" s="145" t="s">
        <v>208</v>
      </c>
      <c r="B19" s="174">
        <v>0</v>
      </c>
      <c r="C19" s="75">
        <v>0</v>
      </c>
      <c r="D19" s="76">
        <f t="shared" si="0"/>
        <v>0</v>
      </c>
      <c r="E19" s="176" t="str">
        <f t="shared" si="1"/>
        <v>-</v>
      </c>
      <c r="F19" s="204"/>
      <c r="G19" s="174">
        <v>0</v>
      </c>
      <c r="H19" s="75">
        <v>0</v>
      </c>
      <c r="I19" s="76">
        <f t="shared" si="2"/>
        <v>0</v>
      </c>
      <c r="J19" s="176" t="str">
        <f t="shared" si="3"/>
        <v>-</v>
      </c>
      <c r="K19" s="204"/>
      <c r="L19" s="174">
        <v>0</v>
      </c>
      <c r="M19" s="75">
        <v>0</v>
      </c>
      <c r="N19" s="76">
        <f t="shared" si="4"/>
        <v>0</v>
      </c>
      <c r="O19" s="176" t="str">
        <f t="shared" si="5"/>
        <v>-</v>
      </c>
      <c r="P19" s="204"/>
      <c r="Q19" s="174">
        <v>0</v>
      </c>
      <c r="R19" s="75">
        <v>0</v>
      </c>
      <c r="S19" s="76">
        <f t="shared" si="6"/>
        <v>0</v>
      </c>
      <c r="T19" s="176" t="str">
        <f t="shared" si="7"/>
        <v>-</v>
      </c>
      <c r="U19" s="204"/>
      <c r="V19" s="181">
        <f t="shared" si="8"/>
        <v>0</v>
      </c>
      <c r="W19" s="76">
        <f t="shared" si="9"/>
        <v>0</v>
      </c>
      <c r="X19" s="76">
        <f t="shared" si="10"/>
        <v>0</v>
      </c>
      <c r="Y19" s="176" t="str">
        <f t="shared" si="11"/>
        <v>-</v>
      </c>
      <c r="Z19" s="204"/>
      <c r="AA19" s="181">
        <v>0</v>
      </c>
      <c r="AB19" s="76">
        <f t="shared" si="12"/>
        <v>0</v>
      </c>
      <c r="AC19" s="176" t="str">
        <f t="shared" si="13"/>
        <v>-</v>
      </c>
      <c r="AD19" s="162"/>
      <c r="AE19" s="77"/>
    </row>
    <row r="20" spans="1:31" ht="15.75" x14ac:dyDescent="0.25">
      <c r="A20" s="144" t="s">
        <v>29</v>
      </c>
      <c r="B20" s="174">
        <v>0</v>
      </c>
      <c r="C20" s="75">
        <v>0</v>
      </c>
      <c r="D20" s="76">
        <f t="shared" si="0"/>
        <v>0</v>
      </c>
      <c r="E20" s="176" t="str">
        <f t="shared" si="1"/>
        <v>-</v>
      </c>
      <c r="F20" s="204"/>
      <c r="G20" s="174">
        <v>0</v>
      </c>
      <c r="H20" s="75">
        <v>0</v>
      </c>
      <c r="I20" s="76">
        <f t="shared" si="2"/>
        <v>0</v>
      </c>
      <c r="J20" s="176" t="str">
        <f t="shared" si="3"/>
        <v>-</v>
      </c>
      <c r="K20" s="204"/>
      <c r="L20" s="174">
        <v>0</v>
      </c>
      <c r="M20" s="75">
        <v>0</v>
      </c>
      <c r="N20" s="76">
        <f t="shared" si="4"/>
        <v>0</v>
      </c>
      <c r="O20" s="176" t="str">
        <f t="shared" si="5"/>
        <v>-</v>
      </c>
      <c r="P20" s="204"/>
      <c r="Q20" s="174">
        <v>0</v>
      </c>
      <c r="R20" s="75">
        <v>0</v>
      </c>
      <c r="S20" s="76">
        <f t="shared" si="6"/>
        <v>0</v>
      </c>
      <c r="T20" s="176" t="str">
        <f t="shared" si="7"/>
        <v>-</v>
      </c>
      <c r="U20" s="204"/>
      <c r="V20" s="181">
        <f t="shared" si="8"/>
        <v>0</v>
      </c>
      <c r="W20" s="76">
        <f t="shared" si="9"/>
        <v>0</v>
      </c>
      <c r="X20" s="76">
        <f t="shared" si="10"/>
        <v>0</v>
      </c>
      <c r="Y20" s="176" t="str">
        <f t="shared" si="11"/>
        <v>-</v>
      </c>
      <c r="Z20" s="204"/>
      <c r="AA20" s="181">
        <v>0</v>
      </c>
      <c r="AB20" s="76">
        <f t="shared" si="12"/>
        <v>0</v>
      </c>
      <c r="AC20" s="176" t="str">
        <f t="shared" si="13"/>
        <v>-</v>
      </c>
      <c r="AD20" s="162"/>
      <c r="AE20" s="77"/>
    </row>
    <row r="21" spans="1:31" ht="15.75" x14ac:dyDescent="0.25">
      <c r="A21" s="145" t="s">
        <v>30</v>
      </c>
      <c r="B21" s="174">
        <v>0</v>
      </c>
      <c r="C21" s="75">
        <v>0</v>
      </c>
      <c r="D21" s="76">
        <f t="shared" si="0"/>
        <v>0</v>
      </c>
      <c r="E21" s="176" t="str">
        <f t="shared" si="1"/>
        <v>-</v>
      </c>
      <c r="F21" s="204"/>
      <c r="G21" s="174">
        <v>0</v>
      </c>
      <c r="H21" s="75">
        <v>0</v>
      </c>
      <c r="I21" s="76">
        <f t="shared" si="2"/>
        <v>0</v>
      </c>
      <c r="J21" s="176" t="str">
        <f t="shared" si="3"/>
        <v>-</v>
      </c>
      <c r="K21" s="204"/>
      <c r="L21" s="174">
        <v>0</v>
      </c>
      <c r="M21" s="75">
        <v>0</v>
      </c>
      <c r="N21" s="76">
        <f t="shared" si="4"/>
        <v>0</v>
      </c>
      <c r="O21" s="176" t="str">
        <f t="shared" si="5"/>
        <v>-</v>
      </c>
      <c r="P21" s="204"/>
      <c r="Q21" s="174">
        <v>0</v>
      </c>
      <c r="R21" s="75">
        <v>0</v>
      </c>
      <c r="S21" s="76">
        <f t="shared" si="6"/>
        <v>0</v>
      </c>
      <c r="T21" s="176" t="str">
        <f t="shared" si="7"/>
        <v>-</v>
      </c>
      <c r="U21" s="204"/>
      <c r="V21" s="181">
        <f t="shared" si="8"/>
        <v>0</v>
      </c>
      <c r="W21" s="76">
        <f t="shared" si="9"/>
        <v>0</v>
      </c>
      <c r="X21" s="76">
        <f t="shared" si="10"/>
        <v>0</v>
      </c>
      <c r="Y21" s="176" t="str">
        <f t="shared" si="11"/>
        <v>-</v>
      </c>
      <c r="Z21" s="204"/>
      <c r="AA21" s="181">
        <v>0</v>
      </c>
      <c r="AB21" s="76">
        <f t="shared" si="12"/>
        <v>0</v>
      </c>
      <c r="AC21" s="176" t="str">
        <f t="shared" si="13"/>
        <v>-</v>
      </c>
      <c r="AD21" s="162"/>
      <c r="AE21" s="77"/>
    </row>
    <row r="22" spans="1:31" ht="15.75" x14ac:dyDescent="0.25">
      <c r="A22" s="269" t="s">
        <v>31</v>
      </c>
      <c r="B22" s="255"/>
      <c r="C22" s="254"/>
      <c r="D22" s="79">
        <f t="shared" si="0"/>
        <v>0</v>
      </c>
      <c r="E22" s="252" t="str">
        <f t="shared" si="1"/>
        <v>-</v>
      </c>
      <c r="F22" s="204"/>
      <c r="G22" s="255"/>
      <c r="H22" s="254"/>
      <c r="I22" s="79">
        <f t="shared" si="2"/>
        <v>0</v>
      </c>
      <c r="J22" s="252" t="str">
        <f t="shared" si="3"/>
        <v>-</v>
      </c>
      <c r="K22" s="204"/>
      <c r="L22" s="255">
        <v>0</v>
      </c>
      <c r="M22" s="254"/>
      <c r="N22" s="79">
        <f t="shared" si="4"/>
        <v>0</v>
      </c>
      <c r="O22" s="252" t="str">
        <f t="shared" si="5"/>
        <v>-</v>
      </c>
      <c r="P22" s="204"/>
      <c r="Q22" s="255"/>
      <c r="R22" s="254"/>
      <c r="S22" s="79">
        <f t="shared" si="6"/>
        <v>0</v>
      </c>
      <c r="T22" s="252" t="str">
        <f t="shared" si="7"/>
        <v>-</v>
      </c>
      <c r="U22" s="204"/>
      <c r="V22" s="187">
        <f t="shared" si="8"/>
        <v>0</v>
      </c>
      <c r="W22" s="79">
        <f t="shared" si="9"/>
        <v>0</v>
      </c>
      <c r="X22" s="79">
        <f t="shared" si="10"/>
        <v>0</v>
      </c>
      <c r="Y22" s="252" t="str">
        <f t="shared" si="11"/>
        <v>-</v>
      </c>
      <c r="Z22" s="204"/>
      <c r="AA22" s="187">
        <v>0</v>
      </c>
      <c r="AB22" s="79">
        <f t="shared" si="12"/>
        <v>0</v>
      </c>
      <c r="AC22" s="252" t="str">
        <f t="shared" si="13"/>
        <v>-</v>
      </c>
      <c r="AD22" s="162"/>
      <c r="AE22" s="77"/>
    </row>
    <row r="23" spans="1:31" ht="15.75" x14ac:dyDescent="0.25">
      <c r="A23" s="146" t="s">
        <v>32</v>
      </c>
      <c r="B23" s="177">
        <f>SUM(B13:B22)</f>
        <v>2130775</v>
      </c>
      <c r="C23" s="110">
        <f>SUM(C13:C22)</f>
        <v>2009568</v>
      </c>
      <c r="D23" s="110">
        <f>SUM(D13:D22)</f>
        <v>-121207</v>
      </c>
      <c r="E23" s="178">
        <f t="shared" si="1"/>
        <v>-5.6883997606504678E-2</v>
      </c>
      <c r="F23" s="206"/>
      <c r="G23" s="177">
        <f>SUM(G13:G22)</f>
        <v>14785</v>
      </c>
      <c r="H23" s="110">
        <f>SUM(H13:H22)</f>
        <v>210906.02</v>
      </c>
      <c r="I23" s="110">
        <f>SUM(I13:I22)</f>
        <v>196121.02</v>
      </c>
      <c r="J23" s="178">
        <f t="shared" si="3"/>
        <v>13.264864389584037</v>
      </c>
      <c r="K23" s="206"/>
      <c r="L23" s="177">
        <f>SUM(L13:L22)</f>
        <v>0</v>
      </c>
      <c r="M23" s="110">
        <f>SUM(M13:M22)</f>
        <v>0</v>
      </c>
      <c r="N23" s="110">
        <f>SUM(N13:N22)</f>
        <v>0</v>
      </c>
      <c r="O23" s="178" t="str">
        <f t="shared" si="5"/>
        <v>-</v>
      </c>
      <c r="P23" s="206"/>
      <c r="Q23" s="177">
        <f>SUM(Q13:Q22)</f>
        <v>0</v>
      </c>
      <c r="R23" s="110">
        <f>SUM(R13:R22)</f>
        <v>0</v>
      </c>
      <c r="S23" s="110">
        <f>SUM(S13:S22)</f>
        <v>0</v>
      </c>
      <c r="T23" s="236" t="str">
        <f t="shared" si="7"/>
        <v>-</v>
      </c>
      <c r="U23" s="206"/>
      <c r="V23" s="177">
        <f>SUM(V13:V22)</f>
        <v>2145560</v>
      </c>
      <c r="W23" s="110">
        <f>SUM(W13:W22)</f>
        <v>2220474.02</v>
      </c>
      <c r="X23" s="110">
        <f>SUM(X13:X22)</f>
        <v>74914.02</v>
      </c>
      <c r="Y23" s="236">
        <f t="shared" si="11"/>
        <v>3.4915835492831712E-2</v>
      </c>
      <c r="Z23" s="206"/>
      <c r="AA23" s="242">
        <f>SUM(AA13:AA22)</f>
        <v>2264889.15</v>
      </c>
      <c r="AB23" s="109">
        <f>SUM(AB13:AB22)</f>
        <v>44415.129999999903</v>
      </c>
      <c r="AC23" s="248">
        <f t="shared" si="13"/>
        <v>1.9610288653641131E-2</v>
      </c>
      <c r="AD23" s="164"/>
      <c r="AE23" s="80"/>
    </row>
    <row r="24" spans="1:31" ht="15.75" x14ac:dyDescent="0.25">
      <c r="A24" s="147"/>
      <c r="B24" s="179"/>
      <c r="C24" s="81"/>
      <c r="D24" s="81"/>
      <c r="E24" s="180"/>
      <c r="F24" s="204"/>
      <c r="G24" s="211"/>
      <c r="H24" s="129"/>
      <c r="I24" s="129"/>
      <c r="J24" s="212"/>
      <c r="K24" s="204"/>
      <c r="L24" s="179"/>
      <c r="M24" s="81"/>
      <c r="N24" s="81"/>
      <c r="O24" s="180"/>
      <c r="P24" s="204"/>
      <c r="Q24" s="211"/>
      <c r="R24" s="129"/>
      <c r="S24" s="129"/>
      <c r="T24" s="237" t="str">
        <f t="shared" si="7"/>
        <v>-</v>
      </c>
      <c r="U24" s="204"/>
      <c r="V24" s="179"/>
      <c r="W24" s="81"/>
      <c r="X24" s="81"/>
      <c r="Y24" s="180"/>
      <c r="Z24" s="204"/>
      <c r="AA24" s="179"/>
      <c r="AB24" s="81"/>
      <c r="AC24" s="180"/>
      <c r="AD24" s="162"/>
      <c r="AE24" s="77"/>
    </row>
    <row r="25" spans="1:31" ht="15.75" x14ac:dyDescent="0.25">
      <c r="A25" s="148" t="s">
        <v>33</v>
      </c>
      <c r="B25" s="181"/>
      <c r="C25" s="76"/>
      <c r="D25" s="76">
        <f>C25-B25</f>
        <v>0</v>
      </c>
      <c r="E25" s="176" t="str">
        <f>IF(ISERROR(D25/B25),"-",D25/B25)</f>
        <v>-</v>
      </c>
      <c r="F25" s="204"/>
      <c r="G25" s="213">
        <v>0</v>
      </c>
      <c r="H25" s="130">
        <v>0</v>
      </c>
      <c r="I25" s="130">
        <f>H25-G25</f>
        <v>0</v>
      </c>
      <c r="J25" s="214" t="str">
        <f>IF(ISERROR(I25/G25),"-",I25/G25)</f>
        <v>-</v>
      </c>
      <c r="K25" s="204"/>
      <c r="L25" s="181">
        <v>0</v>
      </c>
      <c r="M25" s="76">
        <v>0</v>
      </c>
      <c r="N25" s="76">
        <f>L25-M25</f>
        <v>0</v>
      </c>
      <c r="O25" s="176" t="str">
        <f>IF(ISERROR(N25/L25),"-",N25/L25)</f>
        <v>-</v>
      </c>
      <c r="P25" s="204"/>
      <c r="Q25" s="213"/>
      <c r="R25" s="130"/>
      <c r="S25" s="130">
        <f>Q25-R25</f>
        <v>0</v>
      </c>
      <c r="T25" s="214" t="str">
        <f t="shared" si="7"/>
        <v>-</v>
      </c>
      <c r="U25" s="204"/>
      <c r="V25" s="181">
        <f>B25+G25+L25+Q25</f>
        <v>0</v>
      </c>
      <c r="W25" s="76">
        <f>C25+H25+M25+R25</f>
        <v>0</v>
      </c>
      <c r="X25" s="76"/>
      <c r="Y25" s="186"/>
      <c r="Z25" s="204"/>
      <c r="AA25" s="181"/>
      <c r="AB25" s="76"/>
      <c r="AC25" s="186"/>
      <c r="AD25" s="162"/>
      <c r="AE25" s="77"/>
    </row>
    <row r="26" spans="1:31" ht="15.75" x14ac:dyDescent="0.25">
      <c r="A26" s="149"/>
      <c r="B26" s="182"/>
      <c r="C26" s="82"/>
      <c r="D26" s="82"/>
      <c r="E26" s="183"/>
      <c r="F26" s="203"/>
      <c r="G26" s="215"/>
      <c r="H26" s="131"/>
      <c r="I26" s="131"/>
      <c r="J26" s="216"/>
      <c r="K26" s="203"/>
      <c r="L26" s="182"/>
      <c r="M26" s="82"/>
      <c r="N26" s="82"/>
      <c r="O26" s="183"/>
      <c r="P26" s="203"/>
      <c r="Q26" s="215"/>
      <c r="R26" s="131"/>
      <c r="S26" s="131"/>
      <c r="T26" s="227" t="str">
        <f t="shared" si="7"/>
        <v>-</v>
      </c>
      <c r="U26" s="203"/>
      <c r="V26" s="182"/>
      <c r="W26" s="82"/>
      <c r="X26" s="82"/>
      <c r="Y26" s="183"/>
      <c r="Z26" s="203"/>
      <c r="AA26" s="182"/>
      <c r="AB26" s="82"/>
      <c r="AC26" s="183"/>
      <c r="AD26" s="161"/>
      <c r="AE26" s="77"/>
    </row>
    <row r="27" spans="1:31" ht="15.75" x14ac:dyDescent="0.25">
      <c r="A27" s="146" t="s">
        <v>34</v>
      </c>
      <c r="B27" s="177">
        <f>B23+B25</f>
        <v>2130775</v>
      </c>
      <c r="C27" s="110">
        <f>C23+C25</f>
        <v>2009568</v>
      </c>
      <c r="D27" s="110">
        <f>D23+D25</f>
        <v>-121207</v>
      </c>
      <c r="E27" s="178">
        <f>IF(ISERROR(D27/B27),"-",D27/B27)</f>
        <v>-5.6883997606504678E-2</v>
      </c>
      <c r="F27" s="206"/>
      <c r="G27" s="177">
        <f>G23+G25</f>
        <v>14785</v>
      </c>
      <c r="H27" s="110">
        <f>H23+H25</f>
        <v>210906.02</v>
      </c>
      <c r="I27" s="110">
        <f>I23+I25</f>
        <v>196121.02</v>
      </c>
      <c r="J27" s="178">
        <f>IF(ISERROR(I27/G27),"-",I27/G27)</f>
        <v>13.264864389584037</v>
      </c>
      <c r="K27" s="206"/>
      <c r="L27" s="177">
        <f>L23+L25</f>
        <v>0</v>
      </c>
      <c r="M27" s="110">
        <f>M23+M25</f>
        <v>0</v>
      </c>
      <c r="N27" s="110">
        <f>N23+N25</f>
        <v>0</v>
      </c>
      <c r="O27" s="178" t="str">
        <f>IF(ISERROR(N27/L27),"-",N27/L27)</f>
        <v>-</v>
      </c>
      <c r="P27" s="206"/>
      <c r="Q27" s="177">
        <f>Q23+Q25</f>
        <v>0</v>
      </c>
      <c r="R27" s="110">
        <f>R23+R25</f>
        <v>0</v>
      </c>
      <c r="S27" s="110">
        <f>S23+S25</f>
        <v>0</v>
      </c>
      <c r="T27" s="178" t="str">
        <f t="shared" si="7"/>
        <v>-</v>
      </c>
      <c r="U27" s="206"/>
      <c r="V27" s="177">
        <f>V23+V25</f>
        <v>2145560</v>
      </c>
      <c r="W27" s="110">
        <f>W23+W25</f>
        <v>2220474.02</v>
      </c>
      <c r="X27" s="110">
        <f>X23+X25</f>
        <v>74914.02</v>
      </c>
      <c r="Y27" s="178">
        <f>IF(ISERROR(X27/V27),"-",X27/V27)</f>
        <v>3.4915835492831712E-2</v>
      </c>
      <c r="Z27" s="206"/>
      <c r="AA27" s="242">
        <f>AA23+AA25</f>
        <v>2264889.15</v>
      </c>
      <c r="AB27" s="109">
        <f>AA27-W27</f>
        <v>44415.129999999888</v>
      </c>
      <c r="AC27" s="248">
        <f>IF(ISERROR(AB27/AA27),"-",AB27/AA27)</f>
        <v>1.9610288653641124E-2</v>
      </c>
      <c r="AD27" s="164"/>
      <c r="AE27" s="80"/>
    </row>
    <row r="28" spans="1:31" ht="15.75" x14ac:dyDescent="0.25">
      <c r="A28" s="150"/>
      <c r="B28" s="184"/>
      <c r="C28" s="73"/>
      <c r="D28" s="73"/>
      <c r="E28" s="185"/>
      <c r="F28" s="203"/>
      <c r="G28" s="217"/>
      <c r="H28" s="132"/>
      <c r="I28" s="132"/>
      <c r="J28" s="218"/>
      <c r="K28" s="203"/>
      <c r="L28" s="184"/>
      <c r="M28" s="73"/>
      <c r="N28" s="73"/>
      <c r="O28" s="185"/>
      <c r="P28" s="203"/>
      <c r="Q28" s="217"/>
      <c r="R28" s="132"/>
      <c r="S28" s="132"/>
      <c r="T28" s="218"/>
      <c r="U28" s="203"/>
      <c r="V28" s="179"/>
      <c r="W28" s="81"/>
      <c r="X28" s="73"/>
      <c r="Y28" s="185"/>
      <c r="Z28" s="203"/>
      <c r="AA28" s="179"/>
      <c r="AB28" s="73"/>
      <c r="AC28" s="185"/>
      <c r="AD28" s="161"/>
      <c r="AE28" s="77"/>
    </row>
    <row r="29" spans="1:31" ht="15.75" x14ac:dyDescent="0.25">
      <c r="A29" s="148" t="s">
        <v>35</v>
      </c>
      <c r="B29" s="181"/>
      <c r="C29" s="76"/>
      <c r="D29" s="76"/>
      <c r="E29" s="186"/>
      <c r="F29" s="204"/>
      <c r="G29" s="213"/>
      <c r="H29" s="130"/>
      <c r="I29" s="130"/>
      <c r="J29" s="219"/>
      <c r="K29" s="204"/>
      <c r="L29" s="181"/>
      <c r="M29" s="76"/>
      <c r="N29" s="76"/>
      <c r="O29" s="186"/>
      <c r="P29" s="204"/>
      <c r="Q29" s="213"/>
      <c r="R29" s="130"/>
      <c r="S29" s="130"/>
      <c r="T29" s="219"/>
      <c r="U29" s="204"/>
      <c r="V29" s="181"/>
      <c r="W29" s="76"/>
      <c r="X29" s="76"/>
      <c r="Y29" s="186"/>
      <c r="Z29" s="204"/>
      <c r="AA29" s="181"/>
      <c r="AB29" s="76"/>
      <c r="AC29" s="186"/>
      <c r="AD29" s="162"/>
      <c r="AE29" s="77"/>
    </row>
    <row r="30" spans="1:31" ht="15.75" x14ac:dyDescent="0.25">
      <c r="A30" s="151"/>
      <c r="B30" s="181"/>
      <c r="C30" s="76"/>
      <c r="D30" s="76"/>
      <c r="E30" s="186"/>
      <c r="F30" s="204"/>
      <c r="G30" s="213"/>
      <c r="H30" s="130"/>
      <c r="I30" s="130"/>
      <c r="J30" s="219"/>
      <c r="K30" s="204"/>
      <c r="L30" s="181"/>
      <c r="M30" s="76"/>
      <c r="N30" s="76"/>
      <c r="O30" s="234"/>
      <c r="P30" s="204"/>
      <c r="Q30" s="213"/>
      <c r="R30" s="130"/>
      <c r="S30" s="130"/>
      <c r="T30" s="219"/>
      <c r="U30" s="204"/>
      <c r="V30" s="181"/>
      <c r="W30" s="76"/>
      <c r="X30" s="76"/>
      <c r="Y30" s="186"/>
      <c r="Z30" s="204"/>
      <c r="AA30" s="181"/>
      <c r="AB30" s="76"/>
      <c r="AC30" s="186"/>
      <c r="AD30" s="162"/>
      <c r="AE30" s="77"/>
    </row>
    <row r="31" spans="1:31" ht="15.75" x14ac:dyDescent="0.25">
      <c r="A31" s="148" t="s">
        <v>36</v>
      </c>
      <c r="B31" s="181"/>
      <c r="C31" s="76"/>
      <c r="D31" s="76"/>
      <c r="E31" s="186"/>
      <c r="F31" s="204"/>
      <c r="G31" s="213"/>
      <c r="H31" s="130"/>
      <c r="I31" s="130"/>
      <c r="J31" s="219"/>
      <c r="K31" s="204"/>
      <c r="L31" s="181"/>
      <c r="M31" s="76"/>
      <c r="N31" s="76"/>
      <c r="O31" s="186"/>
      <c r="P31" s="204"/>
      <c r="Q31" s="213"/>
      <c r="R31" s="130"/>
      <c r="S31" s="130"/>
      <c r="T31" s="219"/>
      <c r="U31" s="204"/>
      <c r="V31" s="181"/>
      <c r="W31" s="76"/>
      <c r="X31" s="76"/>
      <c r="Y31" s="186"/>
      <c r="Z31" s="204"/>
      <c r="AA31" s="181"/>
      <c r="AB31" s="76"/>
      <c r="AC31" s="186"/>
      <c r="AD31" s="162"/>
      <c r="AE31" s="77"/>
    </row>
    <row r="32" spans="1:31" ht="15.75" x14ac:dyDescent="0.25">
      <c r="A32" s="145" t="s">
        <v>37</v>
      </c>
      <c r="B32" s="181">
        <v>404405</v>
      </c>
      <c r="C32" s="76">
        <v>371769</v>
      </c>
      <c r="D32" s="76">
        <f t="shared" ref="D32:D38" si="14">B32-C32</f>
        <v>32636</v>
      </c>
      <c r="E32" s="175">
        <f t="shared" ref="E32:E38" si="15">IF(ISERROR(D32/B32),"-",D32/B32)</f>
        <v>8.0701277185000184E-2</v>
      </c>
      <c r="F32" s="205"/>
      <c r="G32" s="213">
        <v>404405</v>
      </c>
      <c r="H32" s="130">
        <v>393490</v>
      </c>
      <c r="I32" s="130">
        <f t="shared" ref="I32:I38" si="16">G32-H32</f>
        <v>10915</v>
      </c>
      <c r="J32" s="220">
        <f t="shared" ref="J32:J38" si="17">IF(ISERROR(I32/G32),"-",I32/G32)</f>
        <v>2.6990269655419692E-2</v>
      </c>
      <c r="K32" s="205"/>
      <c r="L32" s="181">
        <v>0</v>
      </c>
      <c r="M32" s="76">
        <v>0</v>
      </c>
      <c r="N32" s="76">
        <f t="shared" ref="N32:N38" si="18">L32-M32</f>
        <v>0</v>
      </c>
      <c r="O32" s="175" t="str">
        <f t="shared" ref="O32:O38" si="19">IF(ISERROR(N32/L32),"-",N32/L32)</f>
        <v>-</v>
      </c>
      <c r="P32" s="205"/>
      <c r="Q32" s="213">
        <v>0</v>
      </c>
      <c r="R32" s="130">
        <v>0</v>
      </c>
      <c r="S32" s="130">
        <f t="shared" ref="S32:S38" si="20">Q32-R32</f>
        <v>0</v>
      </c>
      <c r="T32" s="220" t="str">
        <f t="shared" ref="T32:T38" si="21">IF(ISERROR(S32/Q32),"-",S32/Q32)</f>
        <v>-</v>
      </c>
      <c r="U32" s="205"/>
      <c r="V32" s="181">
        <f t="shared" ref="V32:W38" si="22">B32+G32+L32+Q32</f>
        <v>808810</v>
      </c>
      <c r="W32" s="76">
        <f t="shared" si="22"/>
        <v>765259</v>
      </c>
      <c r="X32" s="76">
        <f t="shared" ref="X32:X38" si="23">V32-W32</f>
        <v>43551</v>
      </c>
      <c r="Y32" s="175">
        <f t="shared" ref="Y32:Y38" si="24">IF(ISERROR(X32/V32),"-",X32/V32)</f>
        <v>5.3845773420209936E-2</v>
      </c>
      <c r="Z32" s="205"/>
      <c r="AA32" s="181">
        <v>1616521.66</v>
      </c>
      <c r="AB32" s="76">
        <f t="shared" ref="AB32:AB38" si="25">AA32-W32</f>
        <v>851262.65999999992</v>
      </c>
      <c r="AC32" s="175">
        <f t="shared" ref="AC32:AC38" si="26">IF(ISERROR(AB32/AA32),"-",AB32/AA32)</f>
        <v>0.52660145611658549</v>
      </c>
      <c r="AD32" s="163"/>
      <c r="AE32" s="83"/>
    </row>
    <row r="33" spans="1:31" ht="15.75" x14ac:dyDescent="0.25">
      <c r="A33" s="145" t="s">
        <v>38</v>
      </c>
      <c r="B33" s="181">
        <v>0</v>
      </c>
      <c r="C33" s="76">
        <v>0</v>
      </c>
      <c r="D33" s="76">
        <f t="shared" si="14"/>
        <v>0</v>
      </c>
      <c r="E33" s="175" t="str">
        <f t="shared" si="15"/>
        <v>-</v>
      </c>
      <c r="F33" s="205"/>
      <c r="G33" s="213">
        <v>0</v>
      </c>
      <c r="H33" s="130">
        <v>0</v>
      </c>
      <c r="I33" s="130">
        <f t="shared" si="16"/>
        <v>0</v>
      </c>
      <c r="J33" s="220" t="str">
        <f t="shared" si="17"/>
        <v>-</v>
      </c>
      <c r="K33" s="205"/>
      <c r="L33" s="181">
        <v>0</v>
      </c>
      <c r="M33" s="76">
        <v>0</v>
      </c>
      <c r="N33" s="76">
        <f t="shared" si="18"/>
        <v>0</v>
      </c>
      <c r="O33" s="175" t="str">
        <f t="shared" si="19"/>
        <v>-</v>
      </c>
      <c r="P33" s="205"/>
      <c r="Q33" s="213">
        <v>0</v>
      </c>
      <c r="R33" s="130">
        <v>0</v>
      </c>
      <c r="S33" s="130">
        <f t="shared" si="20"/>
        <v>0</v>
      </c>
      <c r="T33" s="220" t="str">
        <f t="shared" si="21"/>
        <v>-</v>
      </c>
      <c r="U33" s="205"/>
      <c r="V33" s="181">
        <f t="shared" si="22"/>
        <v>0</v>
      </c>
      <c r="W33" s="76">
        <f t="shared" si="22"/>
        <v>0</v>
      </c>
      <c r="X33" s="76">
        <f t="shared" si="23"/>
        <v>0</v>
      </c>
      <c r="Y33" s="175" t="str">
        <f t="shared" si="24"/>
        <v>-</v>
      </c>
      <c r="Z33" s="205"/>
      <c r="AA33" s="181">
        <v>0</v>
      </c>
      <c r="AB33" s="76">
        <f t="shared" si="25"/>
        <v>0</v>
      </c>
      <c r="AC33" s="175" t="str">
        <f t="shared" si="26"/>
        <v>-</v>
      </c>
      <c r="AD33" s="163"/>
      <c r="AE33" s="84"/>
    </row>
    <row r="34" spans="1:31" ht="15.75" x14ac:dyDescent="0.25">
      <c r="A34" s="145" t="s">
        <v>39</v>
      </c>
      <c r="B34" s="181">
        <v>20506</v>
      </c>
      <c r="C34" s="76">
        <v>19807</v>
      </c>
      <c r="D34" s="76">
        <f t="shared" si="14"/>
        <v>699</v>
      </c>
      <c r="E34" s="175">
        <f t="shared" si="15"/>
        <v>3.4087584121720471E-2</v>
      </c>
      <c r="F34" s="207"/>
      <c r="G34" s="213">
        <v>20506</v>
      </c>
      <c r="H34" s="130">
        <v>17752</v>
      </c>
      <c r="I34" s="130">
        <f t="shared" si="16"/>
        <v>2754</v>
      </c>
      <c r="J34" s="220">
        <f t="shared" si="17"/>
        <v>0.13430215546669266</v>
      </c>
      <c r="K34" s="207"/>
      <c r="L34" s="181">
        <v>0</v>
      </c>
      <c r="M34" s="76">
        <v>0</v>
      </c>
      <c r="N34" s="76">
        <f t="shared" si="18"/>
        <v>0</v>
      </c>
      <c r="O34" s="176" t="str">
        <f t="shared" si="19"/>
        <v>-</v>
      </c>
      <c r="P34" s="207"/>
      <c r="Q34" s="213">
        <v>0</v>
      </c>
      <c r="R34" s="130">
        <v>0</v>
      </c>
      <c r="S34" s="130">
        <f t="shared" si="20"/>
        <v>0</v>
      </c>
      <c r="T34" s="214" t="str">
        <f t="shared" si="21"/>
        <v>-</v>
      </c>
      <c r="U34" s="207"/>
      <c r="V34" s="181">
        <f t="shared" si="22"/>
        <v>41012</v>
      </c>
      <c r="W34" s="76">
        <f t="shared" si="22"/>
        <v>37559</v>
      </c>
      <c r="X34" s="76">
        <f t="shared" si="23"/>
        <v>3453</v>
      </c>
      <c r="Y34" s="175">
        <f t="shared" si="24"/>
        <v>8.4194869794206567E-2</v>
      </c>
      <c r="Z34" s="207"/>
      <c r="AA34" s="181">
        <v>82022.36</v>
      </c>
      <c r="AB34" s="76">
        <f t="shared" si="25"/>
        <v>44463.360000000001</v>
      </c>
      <c r="AC34" s="175">
        <f t="shared" si="26"/>
        <v>0.5420882793423647</v>
      </c>
      <c r="AD34" s="165"/>
      <c r="AE34" s="77"/>
    </row>
    <row r="35" spans="1:31" ht="15.75" x14ac:dyDescent="0.25">
      <c r="A35" s="145" t="s">
        <v>40</v>
      </c>
      <c r="B35" s="181">
        <v>13605</v>
      </c>
      <c r="C35" s="76">
        <v>12361</v>
      </c>
      <c r="D35" s="76">
        <f t="shared" si="14"/>
        <v>1244</v>
      </c>
      <c r="E35" s="175">
        <f t="shared" si="15"/>
        <v>9.14369717015803E-2</v>
      </c>
      <c r="F35" s="205"/>
      <c r="G35" s="213">
        <v>13605</v>
      </c>
      <c r="H35" s="130">
        <v>8748</v>
      </c>
      <c r="I35" s="130">
        <f t="shared" si="16"/>
        <v>4857</v>
      </c>
      <c r="J35" s="220">
        <f t="shared" si="17"/>
        <v>0.35700110253583239</v>
      </c>
      <c r="K35" s="205"/>
      <c r="L35" s="181">
        <v>0</v>
      </c>
      <c r="M35" s="76">
        <v>0</v>
      </c>
      <c r="N35" s="76">
        <f t="shared" si="18"/>
        <v>0</v>
      </c>
      <c r="O35" s="175" t="str">
        <f t="shared" si="19"/>
        <v>-</v>
      </c>
      <c r="P35" s="205"/>
      <c r="Q35" s="213">
        <v>0</v>
      </c>
      <c r="R35" s="130">
        <v>0</v>
      </c>
      <c r="S35" s="130">
        <f t="shared" si="20"/>
        <v>0</v>
      </c>
      <c r="T35" s="220" t="str">
        <f t="shared" si="21"/>
        <v>-</v>
      </c>
      <c r="U35" s="205"/>
      <c r="V35" s="181">
        <f t="shared" si="22"/>
        <v>27210</v>
      </c>
      <c r="W35" s="76">
        <f t="shared" si="22"/>
        <v>21109</v>
      </c>
      <c r="X35" s="76">
        <f t="shared" si="23"/>
        <v>6101</v>
      </c>
      <c r="Y35" s="175">
        <f t="shared" si="24"/>
        <v>0.22421903711870636</v>
      </c>
      <c r="Z35" s="205"/>
      <c r="AA35" s="181">
        <v>54419.92</v>
      </c>
      <c r="AB35" s="76">
        <f t="shared" si="25"/>
        <v>33310.92</v>
      </c>
      <c r="AC35" s="175">
        <f t="shared" si="26"/>
        <v>0.61210894834097518</v>
      </c>
      <c r="AD35" s="163"/>
      <c r="AE35" s="83"/>
    </row>
    <row r="36" spans="1:31" ht="15.75" x14ac:dyDescent="0.25">
      <c r="A36" s="145" t="s">
        <v>41</v>
      </c>
      <c r="B36" s="181">
        <v>12097</v>
      </c>
      <c r="C36" s="76">
        <v>12097</v>
      </c>
      <c r="D36" s="76">
        <f t="shared" si="14"/>
        <v>0</v>
      </c>
      <c r="E36" s="175">
        <f t="shared" si="15"/>
        <v>0</v>
      </c>
      <c r="F36" s="205"/>
      <c r="G36" s="213">
        <v>12097</v>
      </c>
      <c r="H36" s="130">
        <v>12097</v>
      </c>
      <c r="I36" s="130">
        <f t="shared" si="16"/>
        <v>0</v>
      </c>
      <c r="J36" s="220">
        <f t="shared" si="17"/>
        <v>0</v>
      </c>
      <c r="K36" s="205"/>
      <c r="L36" s="181">
        <v>0</v>
      </c>
      <c r="M36" s="76">
        <v>0</v>
      </c>
      <c r="N36" s="76">
        <f t="shared" si="18"/>
        <v>0</v>
      </c>
      <c r="O36" s="175" t="str">
        <f t="shared" si="19"/>
        <v>-</v>
      </c>
      <c r="P36" s="205"/>
      <c r="Q36" s="213">
        <v>0</v>
      </c>
      <c r="R36" s="130">
        <v>0</v>
      </c>
      <c r="S36" s="130">
        <f t="shared" si="20"/>
        <v>0</v>
      </c>
      <c r="T36" s="220" t="str">
        <f t="shared" si="21"/>
        <v>-</v>
      </c>
      <c r="U36" s="205"/>
      <c r="V36" s="181">
        <f t="shared" si="22"/>
        <v>24194</v>
      </c>
      <c r="W36" s="76">
        <f t="shared" si="22"/>
        <v>24194</v>
      </c>
      <c r="X36" s="76">
        <f t="shared" si="23"/>
        <v>0</v>
      </c>
      <c r="Y36" s="175">
        <f t="shared" si="24"/>
        <v>0</v>
      </c>
      <c r="Z36" s="205"/>
      <c r="AA36" s="181">
        <v>48387.6</v>
      </c>
      <c r="AB36" s="76">
        <f t="shared" si="25"/>
        <v>24193.599999999999</v>
      </c>
      <c r="AC36" s="175">
        <f t="shared" si="26"/>
        <v>0.49999586670965285</v>
      </c>
      <c r="AD36" s="163"/>
      <c r="AE36" s="85"/>
    </row>
    <row r="37" spans="1:31" ht="15.75" x14ac:dyDescent="0.25">
      <c r="A37" s="152" t="s">
        <v>42</v>
      </c>
      <c r="B37" s="187">
        <v>15238</v>
      </c>
      <c r="C37" s="79">
        <v>16591</v>
      </c>
      <c r="D37" s="79">
        <f t="shared" si="14"/>
        <v>-1353</v>
      </c>
      <c r="E37" s="188">
        <f t="shared" si="15"/>
        <v>-8.8791179944874649E-2</v>
      </c>
      <c r="F37" s="204"/>
      <c r="G37" s="221">
        <v>15238</v>
      </c>
      <c r="H37" s="133">
        <v>11451</v>
      </c>
      <c r="I37" s="133">
        <f t="shared" si="16"/>
        <v>3787</v>
      </c>
      <c r="J37" s="222">
        <f t="shared" si="17"/>
        <v>0.24852342827142671</v>
      </c>
      <c r="K37" s="204"/>
      <c r="L37" s="187">
        <v>0</v>
      </c>
      <c r="M37" s="79">
        <v>0</v>
      </c>
      <c r="N37" s="79">
        <f t="shared" si="18"/>
        <v>0</v>
      </c>
      <c r="O37" s="188" t="str">
        <f t="shared" si="19"/>
        <v>-</v>
      </c>
      <c r="P37" s="204"/>
      <c r="Q37" s="221">
        <v>0</v>
      </c>
      <c r="R37" s="133">
        <v>0</v>
      </c>
      <c r="S37" s="133">
        <f t="shared" si="20"/>
        <v>0</v>
      </c>
      <c r="T37" s="222" t="str">
        <f t="shared" si="21"/>
        <v>-</v>
      </c>
      <c r="U37" s="204"/>
      <c r="V37" s="187">
        <f t="shared" si="22"/>
        <v>30476</v>
      </c>
      <c r="W37" s="79">
        <f t="shared" si="22"/>
        <v>28042</v>
      </c>
      <c r="X37" s="79">
        <f t="shared" si="23"/>
        <v>2434</v>
      </c>
      <c r="Y37" s="188">
        <f t="shared" si="24"/>
        <v>7.9866124163276014E-2</v>
      </c>
      <c r="Z37" s="204"/>
      <c r="AA37" s="187">
        <v>60949.56</v>
      </c>
      <c r="AB37" s="79">
        <f t="shared" si="25"/>
        <v>32907.56</v>
      </c>
      <c r="AC37" s="188">
        <f t="shared" si="26"/>
        <v>0.53991464417462565</v>
      </c>
      <c r="AD37" s="162"/>
      <c r="AE37" s="84"/>
    </row>
    <row r="38" spans="1:31" ht="15.75" x14ac:dyDescent="0.25">
      <c r="A38" s="145" t="s">
        <v>156</v>
      </c>
      <c r="B38" s="181">
        <v>0</v>
      </c>
      <c r="C38" s="76">
        <v>0</v>
      </c>
      <c r="D38" s="76">
        <f t="shared" si="14"/>
        <v>0</v>
      </c>
      <c r="E38" s="176" t="str">
        <f t="shared" si="15"/>
        <v>-</v>
      </c>
      <c r="F38" s="207"/>
      <c r="G38" s="213">
        <v>0</v>
      </c>
      <c r="H38" s="130">
        <v>0</v>
      </c>
      <c r="I38" s="130">
        <f t="shared" si="16"/>
        <v>0</v>
      </c>
      <c r="J38" s="214" t="str">
        <f t="shared" si="17"/>
        <v>-</v>
      </c>
      <c r="K38" s="207"/>
      <c r="L38" s="181">
        <v>0</v>
      </c>
      <c r="M38" s="76">
        <v>0</v>
      </c>
      <c r="N38" s="76">
        <f t="shared" si="18"/>
        <v>0</v>
      </c>
      <c r="O38" s="176" t="str">
        <f t="shared" si="19"/>
        <v>-</v>
      </c>
      <c r="P38" s="207"/>
      <c r="Q38" s="213">
        <v>0</v>
      </c>
      <c r="R38" s="130">
        <v>0</v>
      </c>
      <c r="S38" s="130">
        <f t="shared" si="20"/>
        <v>0</v>
      </c>
      <c r="T38" s="214" t="str">
        <f t="shared" si="21"/>
        <v>-</v>
      </c>
      <c r="U38" s="207"/>
      <c r="V38" s="181">
        <f t="shared" si="22"/>
        <v>0</v>
      </c>
      <c r="W38" s="76">
        <f t="shared" si="22"/>
        <v>0</v>
      </c>
      <c r="X38" s="76">
        <f t="shared" si="23"/>
        <v>0</v>
      </c>
      <c r="Y38" s="176" t="str">
        <f t="shared" si="24"/>
        <v>-</v>
      </c>
      <c r="Z38" s="207"/>
      <c r="AA38" s="181">
        <v>0</v>
      </c>
      <c r="AB38" s="76">
        <f t="shared" si="25"/>
        <v>0</v>
      </c>
      <c r="AC38" s="176" t="str">
        <f t="shared" si="26"/>
        <v>-</v>
      </c>
      <c r="AD38" s="165"/>
      <c r="AE38" s="77"/>
    </row>
    <row r="39" spans="1:31" ht="15.75" x14ac:dyDescent="0.25">
      <c r="A39" s="145" t="s">
        <v>44</v>
      </c>
      <c r="B39" s="181"/>
      <c r="C39" s="76"/>
      <c r="D39" s="76"/>
      <c r="E39" s="176"/>
      <c r="F39" s="207"/>
      <c r="G39" s="213"/>
      <c r="H39" s="130"/>
      <c r="I39" s="130"/>
      <c r="J39" s="214"/>
      <c r="K39" s="207"/>
      <c r="L39" s="181"/>
      <c r="M39" s="76"/>
      <c r="N39" s="76"/>
      <c r="O39" s="176"/>
      <c r="P39" s="207"/>
      <c r="Q39" s="213"/>
      <c r="R39" s="130"/>
      <c r="S39" s="130"/>
      <c r="T39" s="214"/>
      <c r="U39" s="207"/>
      <c r="V39" s="181"/>
      <c r="W39" s="76"/>
      <c r="X39" s="76"/>
      <c r="Y39" s="176"/>
      <c r="Z39" s="207"/>
      <c r="AA39" s="181"/>
      <c r="AB39" s="76"/>
      <c r="AC39" s="176"/>
      <c r="AD39" s="165"/>
      <c r="AE39" s="77"/>
    </row>
    <row r="40" spans="1:31" ht="15.75" x14ac:dyDescent="0.25">
      <c r="A40" s="146" t="s">
        <v>45</v>
      </c>
      <c r="B40" s="177">
        <f>SUM(B32:B38)</f>
        <v>465851</v>
      </c>
      <c r="C40" s="110">
        <f>SUM(C32:C38)</f>
        <v>432625</v>
      </c>
      <c r="D40" s="110">
        <f>SUM(D32:D38)</f>
        <v>33226</v>
      </c>
      <c r="E40" s="178">
        <f>IF(ISERROR(D40/B40),"-",D40/B40)</f>
        <v>7.1323234253012235E-2</v>
      </c>
      <c r="F40" s="205"/>
      <c r="G40" s="177">
        <f>SUM(G32:G38)</f>
        <v>465851</v>
      </c>
      <c r="H40" s="110">
        <f>SUM(H32:H38)</f>
        <v>443538</v>
      </c>
      <c r="I40" s="110">
        <f>SUM(I32:I38)</f>
        <v>22313</v>
      </c>
      <c r="J40" s="178">
        <f>IF(ISERROR(I40/G40),"-",I40/G40)</f>
        <v>4.7897289047356344E-2</v>
      </c>
      <c r="K40" s="205"/>
      <c r="L40" s="177">
        <f>SUM(L32:L38)</f>
        <v>0</v>
      </c>
      <c r="M40" s="110">
        <f>SUM(M32:M38)</f>
        <v>0</v>
      </c>
      <c r="N40" s="110">
        <f>SUM(N32:N38)</f>
        <v>0</v>
      </c>
      <c r="O40" s="178" t="str">
        <f>IF(ISERROR(N40/L40),"-",N40/L40)</f>
        <v>-</v>
      </c>
      <c r="P40" s="205"/>
      <c r="Q40" s="177">
        <f>SUM(Q32:Q38)</f>
        <v>0</v>
      </c>
      <c r="R40" s="110">
        <f>SUM(R32:R38)</f>
        <v>0</v>
      </c>
      <c r="S40" s="110">
        <f>SUM(S32:S38)</f>
        <v>0</v>
      </c>
      <c r="T40" s="178" t="str">
        <f>IF(ISERROR(S40/Q40),"-",S40/Q40)</f>
        <v>-</v>
      </c>
      <c r="U40" s="205"/>
      <c r="V40" s="177">
        <f>SUM(V32:V38)</f>
        <v>931702</v>
      </c>
      <c r="W40" s="110">
        <f>SUM(W32:W38)</f>
        <v>876163</v>
      </c>
      <c r="X40" s="110">
        <f>SUM(X32:X38)</f>
        <v>55539</v>
      </c>
      <c r="Y40" s="178">
        <f>IF(ISERROR(X40/V40),"-",X40/V40)</f>
        <v>5.9610261650184286E-2</v>
      </c>
      <c r="Z40" s="205"/>
      <c r="AA40" s="242">
        <f>SUM(AA32:AA38)</f>
        <v>1862301.1</v>
      </c>
      <c r="AB40" s="109">
        <f>SUM(AB32:AB38)</f>
        <v>986138.09999999986</v>
      </c>
      <c r="AC40" s="243">
        <f>IF(ISERROR(AB40/AA40),"-",AB40/AA40)</f>
        <v>0.52952666998907949</v>
      </c>
      <c r="AD40" s="163"/>
      <c r="AE40" s="86"/>
    </row>
    <row r="41" spans="1:31" x14ac:dyDescent="0.25">
      <c r="A41" s="150"/>
      <c r="B41" s="179"/>
      <c r="C41" s="81"/>
      <c r="D41" s="81"/>
      <c r="E41" s="180"/>
      <c r="F41" s="204"/>
      <c r="G41" s="211"/>
      <c r="H41" s="129"/>
      <c r="I41" s="129"/>
      <c r="J41" s="223"/>
      <c r="K41" s="204"/>
      <c r="L41" s="179"/>
      <c r="M41" s="81"/>
      <c r="N41" s="81"/>
      <c r="O41" s="180"/>
      <c r="P41" s="204"/>
      <c r="Q41" s="211"/>
      <c r="R41" s="129"/>
      <c r="S41" s="129"/>
      <c r="T41" s="223"/>
      <c r="U41" s="204"/>
      <c r="V41" s="179"/>
      <c r="W41" s="81"/>
      <c r="X41" s="81"/>
      <c r="Y41" s="239"/>
      <c r="Z41" s="204"/>
      <c r="AA41" s="179"/>
      <c r="AB41" s="81"/>
      <c r="AC41" s="239"/>
      <c r="AD41" s="162"/>
      <c r="AE41" s="77"/>
    </row>
    <row r="42" spans="1:31" ht="15.75" x14ac:dyDescent="0.25">
      <c r="A42" s="148" t="s">
        <v>46</v>
      </c>
      <c r="B42" s="189"/>
      <c r="C42" s="87"/>
      <c r="D42" s="87"/>
      <c r="E42" s="190"/>
      <c r="F42" s="203"/>
      <c r="G42" s="224"/>
      <c r="H42" s="134"/>
      <c r="I42" s="134"/>
      <c r="J42" s="225"/>
      <c r="K42" s="203"/>
      <c r="L42" s="189"/>
      <c r="M42" s="87"/>
      <c r="N42" s="87"/>
      <c r="O42" s="190"/>
      <c r="P42" s="203"/>
      <c r="Q42" s="224"/>
      <c r="R42" s="134"/>
      <c r="S42" s="134"/>
      <c r="T42" s="225"/>
      <c r="U42" s="203"/>
      <c r="V42" s="189"/>
      <c r="W42" s="87"/>
      <c r="X42" s="76"/>
      <c r="Y42" s="240"/>
      <c r="Z42" s="203"/>
      <c r="AA42" s="189"/>
      <c r="AB42" s="76"/>
      <c r="AC42" s="240"/>
      <c r="AD42" s="161"/>
      <c r="AE42" s="77"/>
    </row>
    <row r="43" spans="1:31" ht="15.75" x14ac:dyDescent="0.25">
      <c r="A43" s="145" t="s">
        <v>47</v>
      </c>
      <c r="B43" s="181">
        <v>0</v>
      </c>
      <c r="C43" s="76">
        <v>0</v>
      </c>
      <c r="D43" s="76">
        <f t="shared" ref="D43:D62" si="27">B43-C43</f>
        <v>0</v>
      </c>
      <c r="E43" s="175" t="str">
        <f t="shared" ref="E43:E73" si="28">IF(ISERROR(D43/B43),"-",D43/B43)</f>
        <v>-</v>
      </c>
      <c r="F43" s="205"/>
      <c r="G43" s="213">
        <v>0</v>
      </c>
      <c r="H43" s="130">
        <v>0</v>
      </c>
      <c r="I43" s="130">
        <f t="shared" ref="I43:I62" si="29">G43-H43</f>
        <v>0</v>
      </c>
      <c r="J43" s="220" t="str">
        <f t="shared" ref="J43:J73" si="30">IF(ISERROR(I43/G43),"-",I43/G43)</f>
        <v>-</v>
      </c>
      <c r="K43" s="205"/>
      <c r="L43" s="181">
        <v>0</v>
      </c>
      <c r="M43" s="76">
        <v>0</v>
      </c>
      <c r="N43" s="76">
        <f t="shared" ref="N43:N62" si="31">L43-M43</f>
        <v>0</v>
      </c>
      <c r="O43" s="175" t="str">
        <f t="shared" ref="O43:O62" si="32">IF(ISERROR(N43/L43),"-",N43/L43)</f>
        <v>-</v>
      </c>
      <c r="P43" s="205"/>
      <c r="Q43" s="213">
        <v>0</v>
      </c>
      <c r="R43" s="130">
        <v>0</v>
      </c>
      <c r="S43" s="130">
        <f t="shared" ref="S43:S62" si="33">Q43-R43</f>
        <v>0</v>
      </c>
      <c r="T43" s="220" t="str">
        <f t="shared" ref="T43:T62" si="34">IF(ISERROR(S43/Q43),"-",S43/Q43)</f>
        <v>-</v>
      </c>
      <c r="U43" s="205"/>
      <c r="V43" s="181">
        <f t="shared" ref="V43:V62" si="35">B43+G43+L43+Q43</f>
        <v>0</v>
      </c>
      <c r="W43" s="76">
        <f t="shared" ref="W43:W62" si="36">C43+H43+M43+R43</f>
        <v>0</v>
      </c>
      <c r="X43" s="76">
        <f t="shared" ref="X43:X62" si="37">V43-W43</f>
        <v>0</v>
      </c>
      <c r="Y43" s="175" t="str">
        <f t="shared" ref="Y43:Y74" si="38">IF(ISERROR(X43/V43),"-",X43/V43)</f>
        <v>-</v>
      </c>
      <c r="Z43" s="205"/>
      <c r="AA43" s="181">
        <v>0</v>
      </c>
      <c r="AB43" s="76">
        <f t="shared" ref="AB43:AB51" si="39">AA43-W43</f>
        <v>0</v>
      </c>
      <c r="AC43" s="175" t="str">
        <f t="shared" ref="AC43:AC74" si="40">IF(ISERROR(AB43/AA43),"-",AB43/AA43)</f>
        <v>-</v>
      </c>
      <c r="AD43" s="163"/>
      <c r="AE43" s="88"/>
    </row>
    <row r="44" spans="1:31" ht="15.75" x14ac:dyDescent="0.25">
      <c r="A44" s="145" t="s">
        <v>48</v>
      </c>
      <c r="B44" s="181">
        <v>0</v>
      </c>
      <c r="C44" s="76">
        <v>0</v>
      </c>
      <c r="D44" s="76">
        <f t="shared" si="27"/>
        <v>0</v>
      </c>
      <c r="E44" s="175" t="str">
        <f t="shared" si="28"/>
        <v>-</v>
      </c>
      <c r="F44" s="207"/>
      <c r="G44" s="213">
        <v>0</v>
      </c>
      <c r="H44" s="130">
        <v>0</v>
      </c>
      <c r="I44" s="130">
        <f t="shared" si="29"/>
        <v>0</v>
      </c>
      <c r="J44" s="220" t="str">
        <f t="shared" si="30"/>
        <v>-</v>
      </c>
      <c r="K44" s="207"/>
      <c r="L44" s="181">
        <v>0</v>
      </c>
      <c r="M44" s="76">
        <v>0</v>
      </c>
      <c r="N44" s="76">
        <f t="shared" si="31"/>
        <v>0</v>
      </c>
      <c r="O44" s="175" t="str">
        <f t="shared" si="32"/>
        <v>-</v>
      </c>
      <c r="P44" s="207"/>
      <c r="Q44" s="213">
        <v>0</v>
      </c>
      <c r="R44" s="130">
        <v>0</v>
      </c>
      <c r="S44" s="130">
        <f t="shared" si="33"/>
        <v>0</v>
      </c>
      <c r="T44" s="220" t="str">
        <f t="shared" si="34"/>
        <v>-</v>
      </c>
      <c r="U44" s="207"/>
      <c r="V44" s="181">
        <f t="shared" si="35"/>
        <v>0</v>
      </c>
      <c r="W44" s="76">
        <f t="shared" si="36"/>
        <v>0</v>
      </c>
      <c r="X44" s="76">
        <f t="shared" si="37"/>
        <v>0</v>
      </c>
      <c r="Y44" s="175" t="str">
        <f t="shared" si="38"/>
        <v>-</v>
      </c>
      <c r="Z44" s="207"/>
      <c r="AA44" s="181">
        <v>40323</v>
      </c>
      <c r="AB44" s="76">
        <f t="shared" si="39"/>
        <v>40323</v>
      </c>
      <c r="AC44" s="175">
        <f t="shared" si="40"/>
        <v>1</v>
      </c>
      <c r="AD44" s="165"/>
      <c r="AE44" s="77"/>
    </row>
    <row r="45" spans="1:31" ht="15.75" x14ac:dyDescent="0.25">
      <c r="A45" s="145" t="s">
        <v>49</v>
      </c>
      <c r="B45" s="181">
        <v>0</v>
      </c>
      <c r="C45" s="76">
        <v>0</v>
      </c>
      <c r="D45" s="76">
        <f t="shared" si="27"/>
        <v>0</v>
      </c>
      <c r="E45" s="176" t="str">
        <f t="shared" si="28"/>
        <v>-</v>
      </c>
      <c r="F45" s="207"/>
      <c r="G45" s="213">
        <v>0</v>
      </c>
      <c r="H45" s="130">
        <v>0</v>
      </c>
      <c r="I45" s="130">
        <f t="shared" si="29"/>
        <v>0</v>
      </c>
      <c r="J45" s="214" t="str">
        <f t="shared" si="30"/>
        <v>-</v>
      </c>
      <c r="K45" s="207"/>
      <c r="L45" s="181">
        <v>0</v>
      </c>
      <c r="M45" s="76">
        <v>0</v>
      </c>
      <c r="N45" s="76">
        <f t="shared" si="31"/>
        <v>0</v>
      </c>
      <c r="O45" s="176" t="str">
        <f t="shared" si="32"/>
        <v>-</v>
      </c>
      <c r="P45" s="207"/>
      <c r="Q45" s="213">
        <v>0</v>
      </c>
      <c r="R45" s="130">
        <v>0</v>
      </c>
      <c r="S45" s="130">
        <f t="shared" si="33"/>
        <v>0</v>
      </c>
      <c r="T45" s="214" t="str">
        <f t="shared" si="34"/>
        <v>-</v>
      </c>
      <c r="U45" s="207"/>
      <c r="V45" s="181">
        <f t="shared" si="35"/>
        <v>0</v>
      </c>
      <c r="W45" s="76">
        <f t="shared" si="36"/>
        <v>0</v>
      </c>
      <c r="X45" s="76">
        <f t="shared" si="37"/>
        <v>0</v>
      </c>
      <c r="Y45" s="176" t="str">
        <f t="shared" si="38"/>
        <v>-</v>
      </c>
      <c r="Z45" s="207"/>
      <c r="AA45" s="181">
        <v>0</v>
      </c>
      <c r="AB45" s="76">
        <f t="shared" si="39"/>
        <v>0</v>
      </c>
      <c r="AC45" s="175" t="str">
        <f t="shared" si="40"/>
        <v>-</v>
      </c>
      <c r="AD45" s="165"/>
      <c r="AE45" s="77"/>
    </row>
    <row r="46" spans="1:31" ht="15.75" x14ac:dyDescent="0.25">
      <c r="A46" s="145" t="s">
        <v>50</v>
      </c>
      <c r="B46" s="181">
        <v>1008</v>
      </c>
      <c r="C46" s="76">
        <v>436.97</v>
      </c>
      <c r="D46" s="76">
        <f t="shared" si="27"/>
        <v>571.03</v>
      </c>
      <c r="E46" s="175">
        <f t="shared" si="28"/>
        <v>0.56649801587301585</v>
      </c>
      <c r="F46" s="207"/>
      <c r="G46" s="213">
        <v>1008</v>
      </c>
      <c r="H46" s="130">
        <v>288</v>
      </c>
      <c r="I46" s="130">
        <f t="shared" si="29"/>
        <v>720</v>
      </c>
      <c r="J46" s="220">
        <f t="shared" si="30"/>
        <v>0.7142857142857143</v>
      </c>
      <c r="K46" s="207"/>
      <c r="L46" s="181">
        <v>0</v>
      </c>
      <c r="M46" s="76">
        <v>0</v>
      </c>
      <c r="N46" s="76">
        <f t="shared" si="31"/>
        <v>0</v>
      </c>
      <c r="O46" s="175" t="str">
        <f t="shared" si="32"/>
        <v>-</v>
      </c>
      <c r="P46" s="207"/>
      <c r="Q46" s="213">
        <v>0</v>
      </c>
      <c r="R46" s="130">
        <v>0</v>
      </c>
      <c r="S46" s="130">
        <f t="shared" si="33"/>
        <v>0</v>
      </c>
      <c r="T46" s="220" t="str">
        <f t="shared" si="34"/>
        <v>-</v>
      </c>
      <c r="U46" s="207"/>
      <c r="V46" s="181">
        <f t="shared" si="35"/>
        <v>2016</v>
      </c>
      <c r="W46" s="76">
        <f t="shared" si="36"/>
        <v>724.97</v>
      </c>
      <c r="X46" s="76">
        <f t="shared" si="37"/>
        <v>1291.03</v>
      </c>
      <c r="Y46" s="175">
        <f t="shared" si="38"/>
        <v>0.64039186507936507</v>
      </c>
      <c r="Z46" s="207"/>
      <c r="AA46" s="181">
        <v>4032.3</v>
      </c>
      <c r="AB46" s="76">
        <f t="shared" si="39"/>
        <v>3307.33</v>
      </c>
      <c r="AC46" s="175">
        <f t="shared" si="40"/>
        <v>0.82020930982317775</v>
      </c>
      <c r="AD46" s="165"/>
      <c r="AE46" s="88"/>
    </row>
    <row r="47" spans="1:31" ht="15.75" x14ac:dyDescent="0.25">
      <c r="A47" s="145" t="s">
        <v>51</v>
      </c>
      <c r="B47" s="181">
        <v>62097</v>
      </c>
      <c r="C47" s="76">
        <v>34140</v>
      </c>
      <c r="D47" s="76">
        <f t="shared" si="27"/>
        <v>27957</v>
      </c>
      <c r="E47" s="175">
        <f t="shared" si="28"/>
        <v>0.45021498623121892</v>
      </c>
      <c r="F47" s="207"/>
      <c r="G47" s="213">
        <v>62097</v>
      </c>
      <c r="H47" s="130">
        <v>0</v>
      </c>
      <c r="I47" s="130">
        <f t="shared" si="29"/>
        <v>62097</v>
      </c>
      <c r="J47" s="214">
        <f t="shared" si="30"/>
        <v>1</v>
      </c>
      <c r="K47" s="207"/>
      <c r="L47" s="181">
        <v>0</v>
      </c>
      <c r="M47" s="76">
        <v>0</v>
      </c>
      <c r="N47" s="76">
        <f t="shared" si="31"/>
        <v>0</v>
      </c>
      <c r="O47" s="176" t="str">
        <f t="shared" si="32"/>
        <v>-</v>
      </c>
      <c r="P47" s="207"/>
      <c r="Q47" s="213">
        <v>0</v>
      </c>
      <c r="R47" s="130">
        <v>0</v>
      </c>
      <c r="S47" s="130">
        <f t="shared" si="33"/>
        <v>0</v>
      </c>
      <c r="T47" s="214" t="str">
        <f t="shared" si="34"/>
        <v>-</v>
      </c>
      <c r="U47" s="207"/>
      <c r="V47" s="181">
        <f t="shared" si="35"/>
        <v>124194</v>
      </c>
      <c r="W47" s="76">
        <f t="shared" si="36"/>
        <v>34140</v>
      </c>
      <c r="X47" s="76">
        <f t="shared" si="37"/>
        <v>90054</v>
      </c>
      <c r="Y47" s="175">
        <f t="shared" si="38"/>
        <v>0.7251074931156094</v>
      </c>
      <c r="Z47" s="207"/>
      <c r="AA47" s="181">
        <v>248389.68</v>
      </c>
      <c r="AB47" s="76">
        <f t="shared" si="39"/>
        <v>214249.68</v>
      </c>
      <c r="AC47" s="175">
        <f t="shared" si="40"/>
        <v>0.86255467618461446</v>
      </c>
      <c r="AD47" s="165"/>
      <c r="AE47" s="77"/>
    </row>
    <row r="48" spans="1:31" ht="15.75" x14ac:dyDescent="0.25">
      <c r="A48" s="145" t="s">
        <v>52</v>
      </c>
      <c r="B48" s="181">
        <v>5376</v>
      </c>
      <c r="C48" s="76">
        <v>411</v>
      </c>
      <c r="D48" s="76">
        <f t="shared" si="27"/>
        <v>4965</v>
      </c>
      <c r="E48" s="175">
        <f t="shared" si="28"/>
        <v>0.9235491071428571</v>
      </c>
      <c r="F48" s="205"/>
      <c r="G48" s="213">
        <v>5376</v>
      </c>
      <c r="H48" s="130">
        <v>7343</v>
      </c>
      <c r="I48" s="130">
        <f t="shared" si="29"/>
        <v>-1967</v>
      </c>
      <c r="J48" s="220">
        <f t="shared" si="30"/>
        <v>-0.36588541666666669</v>
      </c>
      <c r="K48" s="205"/>
      <c r="L48" s="181">
        <v>0</v>
      </c>
      <c r="M48" s="76">
        <v>0</v>
      </c>
      <c r="N48" s="76">
        <f t="shared" si="31"/>
        <v>0</v>
      </c>
      <c r="O48" s="175" t="str">
        <f t="shared" si="32"/>
        <v>-</v>
      </c>
      <c r="P48" s="205"/>
      <c r="Q48" s="213">
        <v>0</v>
      </c>
      <c r="R48" s="130">
        <v>0</v>
      </c>
      <c r="S48" s="130">
        <f t="shared" si="33"/>
        <v>0</v>
      </c>
      <c r="T48" s="220" t="str">
        <f t="shared" si="34"/>
        <v>-</v>
      </c>
      <c r="U48" s="205"/>
      <c r="V48" s="181">
        <f t="shared" si="35"/>
        <v>10752</v>
      </c>
      <c r="W48" s="76">
        <f t="shared" si="36"/>
        <v>7754</v>
      </c>
      <c r="X48" s="76">
        <f t="shared" si="37"/>
        <v>2998</v>
      </c>
      <c r="Y48" s="175">
        <f t="shared" si="38"/>
        <v>0.27883184523809523</v>
      </c>
      <c r="Z48" s="205"/>
      <c r="AA48" s="181">
        <v>21505.599999999999</v>
      </c>
      <c r="AB48" s="76">
        <f t="shared" si="39"/>
        <v>13751.599999999999</v>
      </c>
      <c r="AC48" s="175">
        <f t="shared" si="40"/>
        <v>0.63944274979540205</v>
      </c>
      <c r="AD48" s="163"/>
      <c r="AE48" s="89"/>
    </row>
    <row r="49" spans="1:31" ht="15.75" x14ac:dyDescent="0.25">
      <c r="A49" s="145" t="s">
        <v>53</v>
      </c>
      <c r="B49" s="181">
        <v>8065</v>
      </c>
      <c r="C49" s="76">
        <v>7145</v>
      </c>
      <c r="D49" s="76">
        <f t="shared" si="27"/>
        <v>920</v>
      </c>
      <c r="E49" s="175">
        <f t="shared" si="28"/>
        <v>0.11407315561066336</v>
      </c>
      <c r="F49" s="205"/>
      <c r="G49" s="213">
        <v>0</v>
      </c>
      <c r="H49" s="130">
        <v>0</v>
      </c>
      <c r="I49" s="130">
        <f t="shared" si="29"/>
        <v>0</v>
      </c>
      <c r="J49" s="220" t="str">
        <f t="shared" si="30"/>
        <v>-</v>
      </c>
      <c r="K49" s="205"/>
      <c r="L49" s="181">
        <v>0</v>
      </c>
      <c r="M49" s="76">
        <v>0</v>
      </c>
      <c r="N49" s="76">
        <f t="shared" si="31"/>
        <v>0</v>
      </c>
      <c r="O49" s="175" t="str">
        <f t="shared" si="32"/>
        <v>-</v>
      </c>
      <c r="P49" s="205"/>
      <c r="Q49" s="213">
        <v>0</v>
      </c>
      <c r="R49" s="130">
        <v>0</v>
      </c>
      <c r="S49" s="130">
        <f t="shared" si="33"/>
        <v>0</v>
      </c>
      <c r="T49" s="220" t="str">
        <f t="shared" si="34"/>
        <v>-</v>
      </c>
      <c r="U49" s="205"/>
      <c r="V49" s="181">
        <f t="shared" si="35"/>
        <v>8065</v>
      </c>
      <c r="W49" s="76">
        <f t="shared" si="36"/>
        <v>7145</v>
      </c>
      <c r="X49" s="76">
        <f t="shared" si="37"/>
        <v>920</v>
      </c>
      <c r="Y49" s="175">
        <f t="shared" si="38"/>
        <v>0.11407315561066336</v>
      </c>
      <c r="Z49" s="205"/>
      <c r="AA49" s="181">
        <v>8064.6</v>
      </c>
      <c r="AB49" s="76">
        <f t="shared" si="39"/>
        <v>919.60000000000036</v>
      </c>
      <c r="AC49" s="175">
        <f t="shared" si="40"/>
        <v>0.11402921409617343</v>
      </c>
      <c r="AD49" s="163"/>
      <c r="AE49" s="90"/>
    </row>
    <row r="50" spans="1:31" ht="15.75" x14ac:dyDescent="0.25">
      <c r="A50" s="145" t="s">
        <v>54</v>
      </c>
      <c r="B50" s="181">
        <v>0</v>
      </c>
      <c r="C50" s="76">
        <v>0</v>
      </c>
      <c r="D50" s="76">
        <f t="shared" si="27"/>
        <v>0</v>
      </c>
      <c r="E50" s="175" t="str">
        <f t="shared" si="28"/>
        <v>-</v>
      </c>
      <c r="F50" s="207"/>
      <c r="G50" s="213">
        <v>0</v>
      </c>
      <c r="H50" s="130">
        <v>0</v>
      </c>
      <c r="I50" s="130">
        <f t="shared" si="29"/>
        <v>0</v>
      </c>
      <c r="J50" s="220" t="str">
        <f t="shared" si="30"/>
        <v>-</v>
      </c>
      <c r="K50" s="207"/>
      <c r="L50" s="181">
        <v>0</v>
      </c>
      <c r="M50" s="76">
        <v>0</v>
      </c>
      <c r="N50" s="76">
        <f t="shared" si="31"/>
        <v>0</v>
      </c>
      <c r="O50" s="175" t="str">
        <f t="shared" si="32"/>
        <v>-</v>
      </c>
      <c r="P50" s="207"/>
      <c r="Q50" s="213">
        <v>0</v>
      </c>
      <c r="R50" s="130">
        <v>0</v>
      </c>
      <c r="S50" s="130">
        <f t="shared" si="33"/>
        <v>0</v>
      </c>
      <c r="T50" s="220" t="str">
        <f t="shared" si="34"/>
        <v>-</v>
      </c>
      <c r="U50" s="207"/>
      <c r="V50" s="181">
        <f t="shared" si="35"/>
        <v>0</v>
      </c>
      <c r="W50" s="76">
        <f t="shared" si="36"/>
        <v>0</v>
      </c>
      <c r="X50" s="76">
        <f t="shared" si="37"/>
        <v>0</v>
      </c>
      <c r="Y50" s="175" t="str">
        <f t="shared" si="38"/>
        <v>-</v>
      </c>
      <c r="Z50" s="207"/>
      <c r="AA50" s="181">
        <v>0</v>
      </c>
      <c r="AB50" s="76">
        <f t="shared" si="39"/>
        <v>0</v>
      </c>
      <c r="AC50" s="175" t="str">
        <f t="shared" si="40"/>
        <v>-</v>
      </c>
      <c r="AD50" s="165"/>
      <c r="AE50" s="77"/>
    </row>
    <row r="51" spans="1:31" ht="15.75" x14ac:dyDescent="0.25">
      <c r="A51" s="145" t="s">
        <v>55</v>
      </c>
      <c r="B51" s="181">
        <v>0</v>
      </c>
      <c r="C51" s="76">
        <v>6754</v>
      </c>
      <c r="D51" s="76">
        <f t="shared" si="27"/>
        <v>-6754</v>
      </c>
      <c r="E51" s="175" t="str">
        <f t="shared" si="28"/>
        <v>-</v>
      </c>
      <c r="F51" s="207"/>
      <c r="G51" s="213">
        <v>0</v>
      </c>
      <c r="H51" s="130">
        <v>0</v>
      </c>
      <c r="I51" s="130">
        <f t="shared" si="29"/>
        <v>0</v>
      </c>
      <c r="J51" s="220" t="str">
        <f t="shared" si="30"/>
        <v>-</v>
      </c>
      <c r="K51" s="207"/>
      <c r="L51" s="181">
        <v>0</v>
      </c>
      <c r="M51" s="76">
        <v>0</v>
      </c>
      <c r="N51" s="76">
        <f t="shared" si="31"/>
        <v>0</v>
      </c>
      <c r="O51" s="175" t="str">
        <f t="shared" si="32"/>
        <v>-</v>
      </c>
      <c r="P51" s="207"/>
      <c r="Q51" s="213">
        <v>0</v>
      </c>
      <c r="R51" s="130">
        <v>0</v>
      </c>
      <c r="S51" s="130">
        <f t="shared" si="33"/>
        <v>0</v>
      </c>
      <c r="T51" s="220" t="str">
        <f t="shared" si="34"/>
        <v>-</v>
      </c>
      <c r="U51" s="207"/>
      <c r="V51" s="181">
        <f t="shared" si="35"/>
        <v>0</v>
      </c>
      <c r="W51" s="76">
        <f t="shared" si="36"/>
        <v>6754</v>
      </c>
      <c r="X51" s="76">
        <f t="shared" si="37"/>
        <v>-6754</v>
      </c>
      <c r="Y51" s="175" t="str">
        <f t="shared" si="38"/>
        <v>-</v>
      </c>
      <c r="Z51" s="207"/>
      <c r="AA51" s="181">
        <v>0</v>
      </c>
      <c r="AB51" s="76">
        <f t="shared" si="39"/>
        <v>-6754</v>
      </c>
      <c r="AC51" s="175" t="str">
        <f t="shared" si="40"/>
        <v>-</v>
      </c>
      <c r="AD51" s="165"/>
      <c r="AE51" s="78"/>
    </row>
    <row r="52" spans="1:31" ht="15.75" x14ac:dyDescent="0.25">
      <c r="A52" s="145" t="s">
        <v>56</v>
      </c>
      <c r="B52" s="181">
        <v>0</v>
      </c>
      <c r="C52" s="76">
        <v>0</v>
      </c>
      <c r="D52" s="76">
        <f t="shared" si="27"/>
        <v>0</v>
      </c>
      <c r="E52" s="175" t="str">
        <f t="shared" si="28"/>
        <v>-</v>
      </c>
      <c r="F52" s="207"/>
      <c r="G52" s="213">
        <v>0</v>
      </c>
      <c r="H52" s="130">
        <v>0</v>
      </c>
      <c r="I52" s="130">
        <f t="shared" si="29"/>
        <v>0</v>
      </c>
      <c r="J52" s="220" t="str">
        <f t="shared" si="30"/>
        <v>-</v>
      </c>
      <c r="K52" s="207"/>
      <c r="L52" s="181">
        <v>0</v>
      </c>
      <c r="M52" s="76">
        <v>0</v>
      </c>
      <c r="N52" s="76">
        <f t="shared" si="31"/>
        <v>0</v>
      </c>
      <c r="O52" s="175" t="str">
        <f t="shared" si="32"/>
        <v>-</v>
      </c>
      <c r="P52" s="207"/>
      <c r="Q52" s="213">
        <v>0</v>
      </c>
      <c r="R52" s="130">
        <v>0</v>
      </c>
      <c r="S52" s="130">
        <f t="shared" si="33"/>
        <v>0</v>
      </c>
      <c r="T52" s="220" t="str">
        <f t="shared" si="34"/>
        <v>-</v>
      </c>
      <c r="U52" s="207"/>
      <c r="V52" s="181">
        <f t="shared" si="35"/>
        <v>0</v>
      </c>
      <c r="W52" s="76">
        <f t="shared" si="36"/>
        <v>0</v>
      </c>
      <c r="X52" s="76">
        <f t="shared" si="37"/>
        <v>0</v>
      </c>
      <c r="Y52" s="175" t="str">
        <f t="shared" si="38"/>
        <v>-</v>
      </c>
      <c r="Z52" s="207"/>
      <c r="AA52" s="181">
        <v>0</v>
      </c>
      <c r="AB52" s="76">
        <v>0</v>
      </c>
      <c r="AC52" s="175" t="str">
        <f t="shared" si="40"/>
        <v>-</v>
      </c>
      <c r="AD52" s="165"/>
      <c r="AE52" s="78"/>
    </row>
    <row r="53" spans="1:31" ht="15.75" x14ac:dyDescent="0.25">
      <c r="A53" s="830" t="s">
        <v>57</v>
      </c>
      <c r="B53" s="181">
        <v>0</v>
      </c>
      <c r="C53" s="76">
        <v>0</v>
      </c>
      <c r="D53" s="76">
        <f t="shared" si="27"/>
        <v>0</v>
      </c>
      <c r="E53" s="175" t="str">
        <f t="shared" si="28"/>
        <v>-</v>
      </c>
      <c r="F53" s="207"/>
      <c r="G53" s="213">
        <v>0</v>
      </c>
      <c r="H53" s="130">
        <v>0</v>
      </c>
      <c r="I53" s="130">
        <f t="shared" si="29"/>
        <v>0</v>
      </c>
      <c r="J53" s="214" t="str">
        <f t="shared" si="30"/>
        <v>-</v>
      </c>
      <c r="K53" s="207"/>
      <c r="L53" s="181">
        <v>0</v>
      </c>
      <c r="M53" s="76">
        <v>0</v>
      </c>
      <c r="N53" s="76">
        <f t="shared" si="31"/>
        <v>0</v>
      </c>
      <c r="O53" s="176" t="str">
        <f t="shared" si="32"/>
        <v>-</v>
      </c>
      <c r="P53" s="207"/>
      <c r="Q53" s="213">
        <v>0</v>
      </c>
      <c r="R53" s="130">
        <v>0</v>
      </c>
      <c r="S53" s="130">
        <f t="shared" si="33"/>
        <v>0</v>
      </c>
      <c r="T53" s="214" t="str">
        <f t="shared" si="34"/>
        <v>-</v>
      </c>
      <c r="U53" s="207"/>
      <c r="V53" s="181">
        <f t="shared" si="35"/>
        <v>0</v>
      </c>
      <c r="W53" s="76">
        <f t="shared" si="36"/>
        <v>0</v>
      </c>
      <c r="X53" s="76">
        <f t="shared" si="37"/>
        <v>0</v>
      </c>
      <c r="Y53" s="175" t="str">
        <f t="shared" si="38"/>
        <v>-</v>
      </c>
      <c r="Z53" s="207"/>
      <c r="AA53" s="181">
        <v>0</v>
      </c>
      <c r="AB53" s="76">
        <f t="shared" ref="AB53:AB62" si="41">AA53-W53</f>
        <v>0</v>
      </c>
      <c r="AC53" s="175" t="str">
        <f t="shared" si="40"/>
        <v>-</v>
      </c>
      <c r="AD53" s="165"/>
      <c r="AE53" s="77"/>
    </row>
    <row r="54" spans="1:31" ht="15.75" x14ac:dyDescent="0.25">
      <c r="A54" s="145" t="s">
        <v>58</v>
      </c>
      <c r="B54" s="181">
        <v>0</v>
      </c>
      <c r="C54" s="76">
        <v>0</v>
      </c>
      <c r="D54" s="76">
        <f t="shared" si="27"/>
        <v>0</v>
      </c>
      <c r="E54" s="175" t="str">
        <f t="shared" si="28"/>
        <v>-</v>
      </c>
      <c r="F54" s="207"/>
      <c r="G54" s="213">
        <v>0</v>
      </c>
      <c r="H54" s="130">
        <v>0</v>
      </c>
      <c r="I54" s="130">
        <f t="shared" si="29"/>
        <v>0</v>
      </c>
      <c r="J54" s="214" t="str">
        <f t="shared" si="30"/>
        <v>-</v>
      </c>
      <c r="K54" s="207"/>
      <c r="L54" s="181">
        <v>0</v>
      </c>
      <c r="M54" s="76">
        <v>0</v>
      </c>
      <c r="N54" s="76">
        <f t="shared" si="31"/>
        <v>0</v>
      </c>
      <c r="O54" s="176" t="str">
        <f t="shared" si="32"/>
        <v>-</v>
      </c>
      <c r="P54" s="207"/>
      <c r="Q54" s="213">
        <v>0</v>
      </c>
      <c r="R54" s="130">
        <v>0</v>
      </c>
      <c r="S54" s="130">
        <f t="shared" si="33"/>
        <v>0</v>
      </c>
      <c r="T54" s="214" t="str">
        <f t="shared" si="34"/>
        <v>-</v>
      </c>
      <c r="U54" s="207"/>
      <c r="V54" s="181">
        <f t="shared" si="35"/>
        <v>0</v>
      </c>
      <c r="W54" s="76">
        <f t="shared" si="36"/>
        <v>0</v>
      </c>
      <c r="X54" s="76">
        <f t="shared" si="37"/>
        <v>0</v>
      </c>
      <c r="Y54" s="175" t="str">
        <f t="shared" si="38"/>
        <v>-</v>
      </c>
      <c r="Z54" s="207"/>
      <c r="AA54" s="181">
        <v>0</v>
      </c>
      <c r="AB54" s="76">
        <f t="shared" si="41"/>
        <v>0</v>
      </c>
      <c r="AC54" s="175" t="str">
        <f t="shared" si="40"/>
        <v>-</v>
      </c>
      <c r="AD54" s="165"/>
      <c r="AE54" s="77"/>
    </row>
    <row r="55" spans="1:31" ht="15.75" x14ac:dyDescent="0.25">
      <c r="A55" s="145" t="s">
        <v>59</v>
      </c>
      <c r="B55" s="181">
        <v>0</v>
      </c>
      <c r="C55" s="76">
        <v>0</v>
      </c>
      <c r="D55" s="76">
        <f t="shared" si="27"/>
        <v>0</v>
      </c>
      <c r="E55" s="175" t="str">
        <f t="shared" si="28"/>
        <v>-</v>
      </c>
      <c r="F55" s="207"/>
      <c r="G55" s="213">
        <v>0</v>
      </c>
      <c r="H55" s="130">
        <v>0</v>
      </c>
      <c r="I55" s="130">
        <f t="shared" si="29"/>
        <v>0</v>
      </c>
      <c r="J55" s="220" t="str">
        <f t="shared" si="30"/>
        <v>-</v>
      </c>
      <c r="K55" s="207"/>
      <c r="L55" s="181">
        <v>0</v>
      </c>
      <c r="M55" s="76">
        <v>0</v>
      </c>
      <c r="N55" s="76">
        <f t="shared" si="31"/>
        <v>0</v>
      </c>
      <c r="O55" s="175" t="str">
        <f t="shared" si="32"/>
        <v>-</v>
      </c>
      <c r="P55" s="207"/>
      <c r="Q55" s="213">
        <v>0</v>
      </c>
      <c r="R55" s="130">
        <v>0</v>
      </c>
      <c r="S55" s="130">
        <f t="shared" si="33"/>
        <v>0</v>
      </c>
      <c r="T55" s="220" t="str">
        <f t="shared" si="34"/>
        <v>-</v>
      </c>
      <c r="U55" s="207"/>
      <c r="V55" s="181">
        <f t="shared" si="35"/>
        <v>0</v>
      </c>
      <c r="W55" s="76">
        <f t="shared" si="36"/>
        <v>0</v>
      </c>
      <c r="X55" s="76">
        <f t="shared" si="37"/>
        <v>0</v>
      </c>
      <c r="Y55" s="175" t="str">
        <f t="shared" si="38"/>
        <v>-</v>
      </c>
      <c r="Z55" s="207"/>
      <c r="AA55" s="181">
        <v>0</v>
      </c>
      <c r="AB55" s="76">
        <f t="shared" si="41"/>
        <v>0</v>
      </c>
      <c r="AC55" s="175" t="str">
        <f t="shared" si="40"/>
        <v>-</v>
      </c>
      <c r="AD55" s="165"/>
      <c r="AE55" s="78"/>
    </row>
    <row r="56" spans="1:31" ht="15.75" x14ac:dyDescent="0.25">
      <c r="A56" s="145" t="s">
        <v>60</v>
      </c>
      <c r="B56" s="181">
        <v>45520</v>
      </c>
      <c r="C56" s="76">
        <v>44670</v>
      </c>
      <c r="D56" s="76">
        <f t="shared" si="27"/>
        <v>850</v>
      </c>
      <c r="E56" s="175">
        <f t="shared" si="28"/>
        <v>1.8673110720562391E-2</v>
      </c>
      <c r="F56" s="207"/>
      <c r="G56" s="213">
        <v>62277</v>
      </c>
      <c r="H56" s="130">
        <v>0</v>
      </c>
      <c r="I56" s="130">
        <f t="shared" si="29"/>
        <v>62277</v>
      </c>
      <c r="J56" s="220">
        <f t="shared" si="30"/>
        <v>1</v>
      </c>
      <c r="K56" s="207"/>
      <c r="L56" s="181">
        <v>0</v>
      </c>
      <c r="M56" s="76">
        <v>0</v>
      </c>
      <c r="N56" s="76">
        <f t="shared" si="31"/>
        <v>0</v>
      </c>
      <c r="O56" s="175" t="str">
        <f t="shared" si="32"/>
        <v>-</v>
      </c>
      <c r="P56" s="207"/>
      <c r="Q56" s="213">
        <v>0</v>
      </c>
      <c r="R56" s="130">
        <v>0</v>
      </c>
      <c r="S56" s="130">
        <f t="shared" si="33"/>
        <v>0</v>
      </c>
      <c r="T56" s="220" t="str">
        <f t="shared" si="34"/>
        <v>-</v>
      </c>
      <c r="U56" s="207"/>
      <c r="V56" s="181">
        <f t="shared" si="35"/>
        <v>107797</v>
      </c>
      <c r="W56" s="76">
        <f t="shared" si="36"/>
        <v>44670</v>
      </c>
      <c r="X56" s="76">
        <f t="shared" si="37"/>
        <v>63127</v>
      </c>
      <c r="Y56" s="175">
        <f t="shared" si="38"/>
        <v>0.58560998914626572</v>
      </c>
      <c r="Z56" s="207"/>
      <c r="AA56" s="181">
        <v>107796.82</v>
      </c>
      <c r="AB56" s="76">
        <f t="shared" si="41"/>
        <v>63126.820000000007</v>
      </c>
      <c r="AC56" s="175">
        <f t="shared" si="40"/>
        <v>0.58560929719448129</v>
      </c>
      <c r="AD56" s="165"/>
      <c r="AE56" s="78"/>
    </row>
    <row r="57" spans="1:31" ht="15.75" x14ac:dyDescent="0.25">
      <c r="A57" s="145" t="s">
        <v>61</v>
      </c>
      <c r="B57" s="181">
        <v>45474</v>
      </c>
      <c r="C57" s="76">
        <v>23000</v>
      </c>
      <c r="D57" s="76">
        <f t="shared" si="27"/>
        <v>22474</v>
      </c>
      <c r="E57" s="175">
        <f t="shared" si="28"/>
        <v>0.49421647534855084</v>
      </c>
      <c r="F57" s="205"/>
      <c r="G57" s="213">
        <v>34731</v>
      </c>
      <c r="H57" s="130">
        <v>-2256</v>
      </c>
      <c r="I57" s="130">
        <f t="shared" si="29"/>
        <v>36987</v>
      </c>
      <c r="J57" s="220">
        <f t="shared" si="30"/>
        <v>1.0649563790273819</v>
      </c>
      <c r="K57" s="205"/>
      <c r="L57" s="181">
        <v>0</v>
      </c>
      <c r="M57" s="76">
        <v>0</v>
      </c>
      <c r="N57" s="76">
        <f t="shared" si="31"/>
        <v>0</v>
      </c>
      <c r="O57" s="175" t="str">
        <f t="shared" si="32"/>
        <v>-</v>
      </c>
      <c r="P57" s="205"/>
      <c r="Q57" s="213">
        <v>0</v>
      </c>
      <c r="R57" s="130">
        <v>0</v>
      </c>
      <c r="S57" s="130">
        <f t="shared" si="33"/>
        <v>0</v>
      </c>
      <c r="T57" s="220" t="str">
        <f t="shared" si="34"/>
        <v>-</v>
      </c>
      <c r="U57" s="205"/>
      <c r="V57" s="181">
        <f t="shared" si="35"/>
        <v>80205</v>
      </c>
      <c r="W57" s="76">
        <f t="shared" si="36"/>
        <v>20744</v>
      </c>
      <c r="X57" s="76">
        <f t="shared" si="37"/>
        <v>59461</v>
      </c>
      <c r="Y57" s="175">
        <f t="shared" si="38"/>
        <v>0.74136275793279716</v>
      </c>
      <c r="Z57" s="205"/>
      <c r="AA57" s="181">
        <v>133587.41</v>
      </c>
      <c r="AB57" s="76">
        <f t="shared" si="41"/>
        <v>112843.41</v>
      </c>
      <c r="AC57" s="175">
        <f t="shared" si="40"/>
        <v>0.84471590548839892</v>
      </c>
      <c r="AD57" s="163"/>
      <c r="AE57" s="78"/>
    </row>
    <row r="58" spans="1:31" ht="15.75" x14ac:dyDescent="0.25">
      <c r="A58" s="145" t="s">
        <v>62</v>
      </c>
      <c r="B58" s="181">
        <v>449</v>
      </c>
      <c r="C58" s="76">
        <v>449</v>
      </c>
      <c r="D58" s="76">
        <f t="shared" si="27"/>
        <v>0</v>
      </c>
      <c r="E58" s="175">
        <f t="shared" si="28"/>
        <v>0</v>
      </c>
      <c r="F58" s="205"/>
      <c r="G58" s="213">
        <v>449</v>
      </c>
      <c r="H58" s="130">
        <v>449</v>
      </c>
      <c r="I58" s="130">
        <f t="shared" si="29"/>
        <v>0</v>
      </c>
      <c r="J58" s="220">
        <f t="shared" si="30"/>
        <v>0</v>
      </c>
      <c r="K58" s="205"/>
      <c r="L58" s="181">
        <v>0</v>
      </c>
      <c r="M58" s="76">
        <v>0</v>
      </c>
      <c r="N58" s="76">
        <f t="shared" si="31"/>
        <v>0</v>
      </c>
      <c r="O58" s="175" t="str">
        <f t="shared" si="32"/>
        <v>-</v>
      </c>
      <c r="P58" s="205"/>
      <c r="Q58" s="213">
        <v>0</v>
      </c>
      <c r="R58" s="130">
        <v>0</v>
      </c>
      <c r="S58" s="130">
        <f t="shared" si="33"/>
        <v>0</v>
      </c>
      <c r="T58" s="220" t="str">
        <f t="shared" si="34"/>
        <v>-</v>
      </c>
      <c r="U58" s="205"/>
      <c r="V58" s="181">
        <f t="shared" si="35"/>
        <v>898</v>
      </c>
      <c r="W58" s="76">
        <f t="shared" si="36"/>
        <v>898</v>
      </c>
      <c r="X58" s="76">
        <f t="shared" si="37"/>
        <v>0</v>
      </c>
      <c r="Y58" s="175">
        <f t="shared" si="38"/>
        <v>0</v>
      </c>
      <c r="Z58" s="205"/>
      <c r="AA58" s="181">
        <v>1800</v>
      </c>
      <c r="AB58" s="76">
        <f t="shared" si="41"/>
        <v>902</v>
      </c>
      <c r="AC58" s="175">
        <f t="shared" si="40"/>
        <v>0.50111111111111106</v>
      </c>
      <c r="AD58" s="163"/>
      <c r="AE58" s="78"/>
    </row>
    <row r="59" spans="1:31" ht="15.75" x14ac:dyDescent="0.25">
      <c r="A59" s="145" t="s">
        <v>63</v>
      </c>
      <c r="B59" s="181">
        <v>5379</v>
      </c>
      <c r="C59" s="76">
        <v>4330</v>
      </c>
      <c r="D59" s="76">
        <f t="shared" si="27"/>
        <v>1049</v>
      </c>
      <c r="E59" s="175">
        <f t="shared" si="28"/>
        <v>0.19501766127532999</v>
      </c>
      <c r="F59" s="205"/>
      <c r="G59" s="213">
        <v>6723</v>
      </c>
      <c r="H59" s="130">
        <v>6708</v>
      </c>
      <c r="I59" s="130">
        <f t="shared" si="29"/>
        <v>15</v>
      </c>
      <c r="J59" s="220">
        <f t="shared" si="30"/>
        <v>2.2311468094600626E-3</v>
      </c>
      <c r="K59" s="205"/>
      <c r="L59" s="181">
        <v>0</v>
      </c>
      <c r="M59" s="76">
        <v>0</v>
      </c>
      <c r="N59" s="76">
        <f t="shared" si="31"/>
        <v>0</v>
      </c>
      <c r="O59" s="175" t="str">
        <f t="shared" si="32"/>
        <v>-</v>
      </c>
      <c r="P59" s="205"/>
      <c r="Q59" s="213">
        <v>0</v>
      </c>
      <c r="R59" s="130">
        <v>0</v>
      </c>
      <c r="S59" s="130">
        <f t="shared" si="33"/>
        <v>0</v>
      </c>
      <c r="T59" s="220" t="str">
        <f t="shared" si="34"/>
        <v>-</v>
      </c>
      <c r="U59" s="205"/>
      <c r="V59" s="181">
        <f t="shared" si="35"/>
        <v>12102</v>
      </c>
      <c r="W59" s="76">
        <f t="shared" si="36"/>
        <v>11038</v>
      </c>
      <c r="X59" s="76">
        <f t="shared" si="37"/>
        <v>1064</v>
      </c>
      <c r="Y59" s="175">
        <f t="shared" si="38"/>
        <v>8.7919352173194507E-2</v>
      </c>
      <c r="Z59" s="205"/>
      <c r="AA59" s="181">
        <v>24193.8</v>
      </c>
      <c r="AB59" s="76">
        <f t="shared" si="41"/>
        <v>13155.8</v>
      </c>
      <c r="AC59" s="175">
        <f t="shared" si="40"/>
        <v>0.54376741148558716</v>
      </c>
      <c r="AD59" s="163"/>
      <c r="AE59" s="78"/>
    </row>
    <row r="60" spans="1:31" ht="15.75" x14ac:dyDescent="0.25">
      <c r="A60" s="145" t="s">
        <v>64</v>
      </c>
      <c r="B60" s="181">
        <v>0</v>
      </c>
      <c r="C60" s="76">
        <v>0</v>
      </c>
      <c r="D60" s="76">
        <f t="shared" si="27"/>
        <v>0</v>
      </c>
      <c r="E60" s="175" t="str">
        <f t="shared" si="28"/>
        <v>-</v>
      </c>
      <c r="F60" s="205"/>
      <c r="G60" s="213">
        <v>0</v>
      </c>
      <c r="H60" s="130">
        <v>0</v>
      </c>
      <c r="I60" s="130">
        <f t="shared" si="29"/>
        <v>0</v>
      </c>
      <c r="J60" s="220" t="str">
        <f t="shared" si="30"/>
        <v>-</v>
      </c>
      <c r="K60" s="205"/>
      <c r="L60" s="181">
        <v>0</v>
      </c>
      <c r="M60" s="76">
        <v>0</v>
      </c>
      <c r="N60" s="76">
        <f t="shared" si="31"/>
        <v>0</v>
      </c>
      <c r="O60" s="175" t="str">
        <f t="shared" si="32"/>
        <v>-</v>
      </c>
      <c r="P60" s="205"/>
      <c r="Q60" s="213">
        <v>0</v>
      </c>
      <c r="R60" s="130">
        <v>0</v>
      </c>
      <c r="S60" s="130">
        <f t="shared" si="33"/>
        <v>0</v>
      </c>
      <c r="T60" s="220" t="str">
        <f t="shared" si="34"/>
        <v>-</v>
      </c>
      <c r="U60" s="205"/>
      <c r="V60" s="181">
        <f t="shared" si="35"/>
        <v>0</v>
      </c>
      <c r="W60" s="76">
        <f t="shared" si="36"/>
        <v>0</v>
      </c>
      <c r="X60" s="76">
        <f t="shared" si="37"/>
        <v>0</v>
      </c>
      <c r="Y60" s="175" t="str">
        <f t="shared" si="38"/>
        <v>-</v>
      </c>
      <c r="Z60" s="205"/>
      <c r="AA60" s="181">
        <v>0</v>
      </c>
      <c r="AB60" s="76">
        <f t="shared" si="41"/>
        <v>0</v>
      </c>
      <c r="AC60" s="175" t="str">
        <f t="shared" si="40"/>
        <v>-</v>
      </c>
      <c r="AD60" s="163"/>
      <c r="AE60" s="78"/>
    </row>
    <row r="61" spans="1:31" ht="15.75" x14ac:dyDescent="0.25">
      <c r="A61" s="145" t="s">
        <v>65</v>
      </c>
      <c r="B61" s="181">
        <v>86022</v>
      </c>
      <c r="C61" s="76">
        <v>13396</v>
      </c>
      <c r="D61" s="76">
        <f t="shared" si="27"/>
        <v>72626</v>
      </c>
      <c r="E61" s="175">
        <f t="shared" si="28"/>
        <v>0.84427239543372623</v>
      </c>
      <c r="F61" s="207"/>
      <c r="G61" s="213">
        <v>13979</v>
      </c>
      <c r="H61" s="130">
        <v>3255</v>
      </c>
      <c r="I61" s="130">
        <f t="shared" si="29"/>
        <v>10724</v>
      </c>
      <c r="J61" s="220">
        <f t="shared" si="30"/>
        <v>0.76715072608913371</v>
      </c>
      <c r="K61" s="207"/>
      <c r="L61" s="181">
        <v>0</v>
      </c>
      <c r="M61" s="76">
        <v>0</v>
      </c>
      <c r="N61" s="76">
        <f t="shared" si="31"/>
        <v>0</v>
      </c>
      <c r="O61" s="175" t="str">
        <f t="shared" si="32"/>
        <v>-</v>
      </c>
      <c r="P61" s="207"/>
      <c r="Q61" s="213">
        <v>0</v>
      </c>
      <c r="R61" s="130">
        <v>0</v>
      </c>
      <c r="S61" s="130">
        <f t="shared" si="33"/>
        <v>0</v>
      </c>
      <c r="T61" s="220" t="str">
        <f t="shared" si="34"/>
        <v>-</v>
      </c>
      <c r="U61" s="207"/>
      <c r="V61" s="181">
        <f t="shared" si="35"/>
        <v>100001</v>
      </c>
      <c r="W61" s="76">
        <f t="shared" si="36"/>
        <v>16651</v>
      </c>
      <c r="X61" s="76">
        <f t="shared" si="37"/>
        <v>83350</v>
      </c>
      <c r="Y61" s="175">
        <f t="shared" si="38"/>
        <v>0.83349166508334915</v>
      </c>
      <c r="Z61" s="207"/>
      <c r="AA61" s="181">
        <v>128227.14</v>
      </c>
      <c r="AB61" s="76">
        <f t="shared" si="41"/>
        <v>111576.14</v>
      </c>
      <c r="AC61" s="175">
        <f t="shared" si="40"/>
        <v>0.87014449515133852</v>
      </c>
      <c r="AD61" s="165"/>
      <c r="AE61" s="78"/>
    </row>
    <row r="62" spans="1:31" ht="15.75" x14ac:dyDescent="0.25">
      <c r="A62" s="145" t="s">
        <v>66</v>
      </c>
      <c r="B62" s="181">
        <v>10081</v>
      </c>
      <c r="C62" s="76">
        <v>3495</v>
      </c>
      <c r="D62" s="76">
        <f t="shared" si="27"/>
        <v>6586</v>
      </c>
      <c r="E62" s="175">
        <f t="shared" si="28"/>
        <v>0.65330820355123498</v>
      </c>
      <c r="F62" s="207"/>
      <c r="G62" s="213">
        <v>10081</v>
      </c>
      <c r="H62" s="130">
        <v>1158</v>
      </c>
      <c r="I62" s="130">
        <f t="shared" si="29"/>
        <v>8923</v>
      </c>
      <c r="J62" s="220">
        <f t="shared" si="30"/>
        <v>0.88513044340839198</v>
      </c>
      <c r="K62" s="207"/>
      <c r="L62" s="181">
        <v>0</v>
      </c>
      <c r="M62" s="76">
        <v>0</v>
      </c>
      <c r="N62" s="76">
        <f t="shared" si="31"/>
        <v>0</v>
      </c>
      <c r="O62" s="176" t="str">
        <f t="shared" si="32"/>
        <v>-</v>
      </c>
      <c r="P62" s="207"/>
      <c r="Q62" s="213">
        <v>0</v>
      </c>
      <c r="R62" s="130">
        <v>0</v>
      </c>
      <c r="S62" s="130">
        <f t="shared" si="33"/>
        <v>0</v>
      </c>
      <c r="T62" s="214" t="str">
        <f t="shared" si="34"/>
        <v>-</v>
      </c>
      <c r="U62" s="207"/>
      <c r="V62" s="181">
        <f t="shared" si="35"/>
        <v>20162</v>
      </c>
      <c r="W62" s="76">
        <f t="shared" si="36"/>
        <v>4653</v>
      </c>
      <c r="X62" s="76">
        <f t="shared" si="37"/>
        <v>15509</v>
      </c>
      <c r="Y62" s="175">
        <f t="shared" si="38"/>
        <v>0.76921932347981348</v>
      </c>
      <c r="Z62" s="207"/>
      <c r="AA62" s="181">
        <v>40323</v>
      </c>
      <c r="AB62" s="76">
        <f t="shared" si="41"/>
        <v>35670</v>
      </c>
      <c r="AC62" s="175">
        <f t="shared" si="40"/>
        <v>0.88460680008927906</v>
      </c>
      <c r="AD62" s="165"/>
      <c r="AE62" s="77"/>
    </row>
    <row r="63" spans="1:31" ht="15.75" x14ac:dyDescent="0.25">
      <c r="A63" s="145" t="s">
        <v>67</v>
      </c>
      <c r="B63" s="181"/>
      <c r="C63" s="76"/>
      <c r="D63" s="76"/>
      <c r="E63" s="175" t="str">
        <f t="shared" si="28"/>
        <v>-</v>
      </c>
      <c r="F63" s="207"/>
      <c r="G63" s="213"/>
      <c r="H63" s="130"/>
      <c r="I63" s="130"/>
      <c r="J63" s="220" t="str">
        <f t="shared" si="30"/>
        <v>-</v>
      </c>
      <c r="K63" s="207"/>
      <c r="L63" s="181"/>
      <c r="M63" s="76"/>
      <c r="N63" s="76"/>
      <c r="O63" s="176"/>
      <c r="P63" s="207"/>
      <c r="Q63" s="213"/>
      <c r="R63" s="130"/>
      <c r="S63" s="130"/>
      <c r="T63" s="214"/>
      <c r="U63" s="207"/>
      <c r="V63" s="181"/>
      <c r="W63" s="76"/>
      <c r="X63" s="76"/>
      <c r="Y63" s="175" t="str">
        <f t="shared" si="38"/>
        <v>-</v>
      </c>
      <c r="Z63" s="207"/>
      <c r="AA63" s="181"/>
      <c r="AB63" s="76"/>
      <c r="AC63" s="175" t="str">
        <f t="shared" si="40"/>
        <v>-</v>
      </c>
      <c r="AD63" s="165"/>
      <c r="AE63" s="77"/>
    </row>
    <row r="64" spans="1:31" ht="15.75" x14ac:dyDescent="0.25">
      <c r="A64" s="145" t="s">
        <v>68</v>
      </c>
      <c r="B64" s="181">
        <v>73926</v>
      </c>
      <c r="C64" s="76">
        <v>15927</v>
      </c>
      <c r="D64" s="76">
        <f>B64-C64</f>
        <v>57999</v>
      </c>
      <c r="E64" s="175">
        <f t="shared" si="28"/>
        <v>0.78455482509536567</v>
      </c>
      <c r="F64" s="207"/>
      <c r="G64" s="213">
        <v>73925</v>
      </c>
      <c r="H64" s="130">
        <v>30083</v>
      </c>
      <c r="I64" s="130">
        <f>G64-H64</f>
        <v>43842</v>
      </c>
      <c r="J64" s="220">
        <f t="shared" si="30"/>
        <v>0.59306053432532968</v>
      </c>
      <c r="K64" s="207"/>
      <c r="L64" s="181">
        <v>0</v>
      </c>
      <c r="M64" s="76">
        <v>0</v>
      </c>
      <c r="N64" s="76">
        <f>L64-M64</f>
        <v>0</v>
      </c>
      <c r="O64" s="175" t="str">
        <f>IF(ISERROR(N64/L64),"-",N64/L64)</f>
        <v>-</v>
      </c>
      <c r="P64" s="207"/>
      <c r="Q64" s="213">
        <v>0</v>
      </c>
      <c r="R64" s="130">
        <v>0</v>
      </c>
      <c r="S64" s="130">
        <f>Q64-R64</f>
        <v>0</v>
      </c>
      <c r="T64" s="220" t="str">
        <f>IF(ISERROR(S64/Q64),"-",S64/Q64)</f>
        <v>-</v>
      </c>
      <c r="U64" s="207"/>
      <c r="V64" s="181">
        <f>B64+G64+L64+Q64</f>
        <v>147851</v>
      </c>
      <c r="W64" s="76">
        <f>C64+H64+M64+R64</f>
        <v>46010</v>
      </c>
      <c r="X64" s="76">
        <f>V64-W64</f>
        <v>101841</v>
      </c>
      <c r="Y64" s="175">
        <f t="shared" si="38"/>
        <v>0.68880832730248698</v>
      </c>
      <c r="Z64" s="207"/>
      <c r="AA64" s="181">
        <v>295702</v>
      </c>
      <c r="AB64" s="76">
        <f>AA64-W64</f>
        <v>249692</v>
      </c>
      <c r="AC64" s="175">
        <f t="shared" si="40"/>
        <v>0.84440416365124349</v>
      </c>
      <c r="AD64" s="165"/>
      <c r="AE64" s="78"/>
    </row>
    <row r="65" spans="1:31" ht="15.75" x14ac:dyDescent="0.25">
      <c r="A65" s="145" t="s">
        <v>69</v>
      </c>
      <c r="B65" s="181"/>
      <c r="C65" s="76"/>
      <c r="D65" s="76"/>
      <c r="E65" s="175" t="str">
        <f t="shared" si="28"/>
        <v>-</v>
      </c>
      <c r="F65" s="207"/>
      <c r="G65" s="213"/>
      <c r="H65" s="130"/>
      <c r="I65" s="130"/>
      <c r="J65" s="220" t="str">
        <f t="shared" si="30"/>
        <v>-</v>
      </c>
      <c r="K65" s="207"/>
      <c r="L65" s="181"/>
      <c r="M65" s="76"/>
      <c r="N65" s="76"/>
      <c r="O65" s="175"/>
      <c r="P65" s="207"/>
      <c r="Q65" s="213"/>
      <c r="R65" s="130"/>
      <c r="S65" s="130"/>
      <c r="T65" s="220"/>
      <c r="U65" s="207"/>
      <c r="V65" s="181"/>
      <c r="W65" s="76"/>
      <c r="X65" s="76"/>
      <c r="Y65" s="175" t="str">
        <f t="shared" si="38"/>
        <v>-</v>
      </c>
      <c r="Z65" s="207"/>
      <c r="AA65" s="181"/>
      <c r="AB65" s="76"/>
      <c r="AC65" s="175" t="str">
        <f t="shared" si="40"/>
        <v>-</v>
      </c>
      <c r="AD65" s="165"/>
      <c r="AE65" s="78"/>
    </row>
    <row r="66" spans="1:31" ht="15.75" x14ac:dyDescent="0.25">
      <c r="A66" s="145" t="s">
        <v>70</v>
      </c>
      <c r="B66" s="181">
        <v>38592</v>
      </c>
      <c r="C66" s="76">
        <v>42451</v>
      </c>
      <c r="D66" s="76">
        <f>B66-C66</f>
        <v>-3859</v>
      </c>
      <c r="E66" s="175">
        <f t="shared" si="28"/>
        <v>-9.9994817578772807E-2</v>
      </c>
      <c r="F66" s="205"/>
      <c r="G66" s="213">
        <v>38592</v>
      </c>
      <c r="H66" s="130">
        <v>42450</v>
      </c>
      <c r="I66" s="130">
        <f>G66-H66</f>
        <v>-3858</v>
      </c>
      <c r="J66" s="220">
        <f t="shared" si="30"/>
        <v>-9.9968905472636815E-2</v>
      </c>
      <c r="K66" s="205"/>
      <c r="L66" s="181">
        <v>0</v>
      </c>
      <c r="M66" s="76">
        <v>0</v>
      </c>
      <c r="N66" s="76">
        <f>L66-M66</f>
        <v>0</v>
      </c>
      <c r="O66" s="176" t="str">
        <f>IF(ISERROR(N66/L66),"-",N66/L66)</f>
        <v>-</v>
      </c>
      <c r="P66" s="205"/>
      <c r="Q66" s="213">
        <v>0</v>
      </c>
      <c r="R66" s="130">
        <v>0</v>
      </c>
      <c r="S66" s="130">
        <f>Q66-R66</f>
        <v>0</v>
      </c>
      <c r="T66" s="214" t="str">
        <f>IF(ISERROR(S66/Q66),"-",S66/Q66)</f>
        <v>-</v>
      </c>
      <c r="U66" s="205"/>
      <c r="V66" s="181">
        <f>B66+G66+L66+Q66</f>
        <v>77184</v>
      </c>
      <c r="W66" s="76">
        <f>C66+H66+M66+R66</f>
        <v>84901</v>
      </c>
      <c r="X66" s="76">
        <f>V66-W66</f>
        <v>-7717</v>
      </c>
      <c r="Y66" s="175">
        <f t="shared" si="38"/>
        <v>-9.9981861525704804E-2</v>
      </c>
      <c r="Z66" s="205"/>
      <c r="AA66" s="181">
        <v>154367.20000000001</v>
      </c>
      <c r="AB66" s="76">
        <f>AA66-W66</f>
        <v>69466.200000000012</v>
      </c>
      <c r="AC66" s="175">
        <f t="shared" si="40"/>
        <v>0.45000621893770182</v>
      </c>
      <c r="AD66" s="163"/>
      <c r="AE66" s="77"/>
    </row>
    <row r="67" spans="1:31" ht="15.75" x14ac:dyDescent="0.25">
      <c r="A67" s="145" t="s">
        <v>71</v>
      </c>
      <c r="B67" s="181"/>
      <c r="C67" s="76"/>
      <c r="D67" s="76"/>
      <c r="E67" s="175" t="str">
        <f t="shared" si="28"/>
        <v>-</v>
      </c>
      <c r="F67" s="205"/>
      <c r="G67" s="213"/>
      <c r="H67" s="130"/>
      <c r="I67" s="130"/>
      <c r="J67" s="220" t="str">
        <f t="shared" si="30"/>
        <v>-</v>
      </c>
      <c r="K67" s="205"/>
      <c r="L67" s="181"/>
      <c r="M67" s="76"/>
      <c r="N67" s="76"/>
      <c r="O67" s="176"/>
      <c r="P67" s="205"/>
      <c r="Q67" s="213"/>
      <c r="R67" s="130"/>
      <c r="S67" s="130"/>
      <c r="T67" s="214"/>
      <c r="U67" s="205"/>
      <c r="V67" s="181"/>
      <c r="W67" s="76"/>
      <c r="X67" s="76"/>
      <c r="Y67" s="175" t="str">
        <f t="shared" si="38"/>
        <v>-</v>
      </c>
      <c r="Z67" s="205"/>
      <c r="AA67" s="181"/>
      <c r="AB67" s="76"/>
      <c r="AC67" s="175" t="str">
        <f t="shared" si="40"/>
        <v>-</v>
      </c>
      <c r="AD67" s="163"/>
      <c r="AE67" s="77"/>
    </row>
    <row r="68" spans="1:31" ht="15.75" x14ac:dyDescent="0.25">
      <c r="A68" s="145" t="s">
        <v>72</v>
      </c>
      <c r="B68" s="181">
        <v>45699</v>
      </c>
      <c r="C68" s="76">
        <v>71219</v>
      </c>
      <c r="D68" s="76">
        <f>B68-C68</f>
        <v>-25520</v>
      </c>
      <c r="E68" s="175">
        <f t="shared" si="28"/>
        <v>-0.5584367272806845</v>
      </c>
      <c r="F68" s="207"/>
      <c r="G68" s="213">
        <v>31452</v>
      </c>
      <c r="H68" s="130">
        <v>7184</v>
      </c>
      <c r="I68" s="130">
        <f>G68-H68</f>
        <v>24268</v>
      </c>
      <c r="J68" s="220">
        <f t="shared" si="30"/>
        <v>0.7715884522446903</v>
      </c>
      <c r="K68" s="207"/>
      <c r="L68" s="181">
        <v>0</v>
      </c>
      <c r="M68" s="76">
        <v>0</v>
      </c>
      <c r="N68" s="76">
        <f>L68-M68</f>
        <v>0</v>
      </c>
      <c r="O68" s="176" t="str">
        <f>IF(ISERROR(N68/L68),"-",N68/L68)</f>
        <v>-</v>
      </c>
      <c r="P68" s="207"/>
      <c r="Q68" s="213">
        <v>0</v>
      </c>
      <c r="R68" s="130">
        <v>0</v>
      </c>
      <c r="S68" s="130">
        <f>Q68-R68</f>
        <v>0</v>
      </c>
      <c r="T68" s="214" t="str">
        <f>IF(ISERROR(S68/Q68),"-",S68/Q68)</f>
        <v>-</v>
      </c>
      <c r="U68" s="207"/>
      <c r="V68" s="181">
        <f>B68+G68+L68+Q68</f>
        <v>77151</v>
      </c>
      <c r="W68" s="76">
        <f>C68+H68+M68+R68</f>
        <v>78403</v>
      </c>
      <c r="X68" s="76">
        <f>V68-W68</f>
        <v>-1252</v>
      </c>
      <c r="Y68" s="175">
        <f t="shared" si="38"/>
        <v>-1.6227916682868659E-2</v>
      </c>
      <c r="Z68" s="207"/>
      <c r="AA68" s="181">
        <v>77151.34</v>
      </c>
      <c r="AB68" s="76">
        <f>AA68-W68</f>
        <v>-1251.6600000000035</v>
      </c>
      <c r="AC68" s="175">
        <f t="shared" si="40"/>
        <v>-1.6223438244883415E-2</v>
      </c>
      <c r="AD68" s="165"/>
      <c r="AE68" s="77"/>
    </row>
    <row r="69" spans="1:31" ht="15.75" x14ac:dyDescent="0.25">
      <c r="A69" s="145" t="s">
        <v>73</v>
      </c>
      <c r="B69" s="181">
        <v>0</v>
      </c>
      <c r="C69" s="76">
        <v>0</v>
      </c>
      <c r="D69" s="76">
        <f>B69-C69</f>
        <v>0</v>
      </c>
      <c r="E69" s="175" t="str">
        <f t="shared" si="28"/>
        <v>-</v>
      </c>
      <c r="F69" s="207"/>
      <c r="G69" s="213">
        <v>0</v>
      </c>
      <c r="H69" s="130">
        <v>0</v>
      </c>
      <c r="I69" s="130">
        <f>G69-H69</f>
        <v>0</v>
      </c>
      <c r="J69" s="220" t="str">
        <f t="shared" si="30"/>
        <v>-</v>
      </c>
      <c r="K69" s="207"/>
      <c r="L69" s="181">
        <v>0</v>
      </c>
      <c r="M69" s="76">
        <v>0</v>
      </c>
      <c r="N69" s="76">
        <f>L69-M69</f>
        <v>0</v>
      </c>
      <c r="O69" s="175" t="str">
        <f>IF(ISERROR(N69/L69),"-",N69/L69)</f>
        <v>-</v>
      </c>
      <c r="P69" s="207"/>
      <c r="Q69" s="213">
        <v>0</v>
      </c>
      <c r="R69" s="130">
        <v>0</v>
      </c>
      <c r="S69" s="130">
        <f>Q69-R69</f>
        <v>0</v>
      </c>
      <c r="T69" s="220" t="str">
        <f>IF(ISERROR(S69/Q69),"-",S69/Q69)</f>
        <v>-</v>
      </c>
      <c r="U69" s="207"/>
      <c r="V69" s="181">
        <f>B69+G69+L69+Q69</f>
        <v>0</v>
      </c>
      <c r="W69" s="76">
        <f>C69+H69+M69+R69</f>
        <v>0</v>
      </c>
      <c r="X69" s="76">
        <f>V69-W69</f>
        <v>0</v>
      </c>
      <c r="Y69" s="175" t="str">
        <f t="shared" si="38"/>
        <v>-</v>
      </c>
      <c r="Z69" s="207"/>
      <c r="AA69" s="181">
        <v>0</v>
      </c>
      <c r="AB69" s="76">
        <f>AA69-W69</f>
        <v>0</v>
      </c>
      <c r="AC69" s="175" t="str">
        <f t="shared" si="40"/>
        <v>-</v>
      </c>
      <c r="AD69" s="165"/>
      <c r="AE69" s="78"/>
    </row>
    <row r="70" spans="1:31" ht="15.75" x14ac:dyDescent="0.25">
      <c r="A70" s="145" t="s">
        <v>74</v>
      </c>
      <c r="B70" s="181"/>
      <c r="C70" s="76"/>
      <c r="D70" s="76"/>
      <c r="E70" s="175" t="str">
        <f t="shared" si="28"/>
        <v>-</v>
      </c>
      <c r="F70" s="207"/>
      <c r="G70" s="213"/>
      <c r="H70" s="130"/>
      <c r="I70" s="130"/>
      <c r="J70" s="220" t="str">
        <f t="shared" si="30"/>
        <v>-</v>
      </c>
      <c r="K70" s="207"/>
      <c r="L70" s="181"/>
      <c r="M70" s="76"/>
      <c r="N70" s="76"/>
      <c r="O70" s="175"/>
      <c r="P70" s="207"/>
      <c r="Q70" s="213"/>
      <c r="R70" s="130"/>
      <c r="S70" s="130"/>
      <c r="T70" s="220"/>
      <c r="U70" s="207"/>
      <c r="V70" s="181"/>
      <c r="W70" s="76"/>
      <c r="X70" s="76"/>
      <c r="Y70" s="175" t="str">
        <f t="shared" si="38"/>
        <v>-</v>
      </c>
      <c r="Z70" s="207"/>
      <c r="AA70" s="181"/>
      <c r="AB70" s="76"/>
      <c r="AC70" s="175" t="str">
        <f t="shared" si="40"/>
        <v>-</v>
      </c>
      <c r="AD70" s="165"/>
      <c r="AE70" s="78"/>
    </row>
    <row r="71" spans="1:31" ht="15.75" x14ac:dyDescent="0.25">
      <c r="A71" s="145" t="s">
        <v>75</v>
      </c>
      <c r="B71" s="181">
        <v>25059</v>
      </c>
      <c r="C71" s="76">
        <v>538</v>
      </c>
      <c r="D71" s="76">
        <f>B71-C71</f>
        <v>24521</v>
      </c>
      <c r="E71" s="175">
        <f t="shared" si="28"/>
        <v>0.97853066762440644</v>
      </c>
      <c r="F71" s="205"/>
      <c r="G71" s="213">
        <v>53178</v>
      </c>
      <c r="H71" s="130">
        <v>4656</v>
      </c>
      <c r="I71" s="130">
        <f>G71-H71</f>
        <v>48522</v>
      </c>
      <c r="J71" s="220">
        <f t="shared" si="30"/>
        <v>0.91244499605099849</v>
      </c>
      <c r="K71" s="205"/>
      <c r="L71" s="181">
        <v>0</v>
      </c>
      <c r="M71" s="76">
        <v>0</v>
      </c>
      <c r="N71" s="76">
        <f>L71-M71</f>
        <v>0</v>
      </c>
      <c r="O71" s="175" t="str">
        <f t="shared" ref="O71:O76" si="42">IF(ISERROR(N71/L71),"-",N71/L71)</f>
        <v>-</v>
      </c>
      <c r="P71" s="205"/>
      <c r="Q71" s="213">
        <v>0</v>
      </c>
      <c r="R71" s="130">
        <v>0</v>
      </c>
      <c r="S71" s="130">
        <f>Q71-R71</f>
        <v>0</v>
      </c>
      <c r="T71" s="220" t="str">
        <f t="shared" ref="T71:T76" si="43">IF(ISERROR(S71/Q71),"-",S71/Q71)</f>
        <v>-</v>
      </c>
      <c r="U71" s="205"/>
      <c r="V71" s="181">
        <f t="shared" ref="V71:W75" si="44">B71+G71+L71+Q71</f>
        <v>78237</v>
      </c>
      <c r="W71" s="76">
        <f t="shared" si="44"/>
        <v>5194</v>
      </c>
      <c r="X71" s="76">
        <f>V71-W71</f>
        <v>73043</v>
      </c>
      <c r="Y71" s="175">
        <f t="shared" si="38"/>
        <v>0.93361197387425388</v>
      </c>
      <c r="Z71" s="205"/>
      <c r="AA71" s="181">
        <v>92791.29</v>
      </c>
      <c r="AB71" s="76">
        <f>AA71-W71</f>
        <v>87597.29</v>
      </c>
      <c r="AC71" s="175">
        <f t="shared" si="40"/>
        <v>0.94402491871812533</v>
      </c>
      <c r="AD71" s="163"/>
      <c r="AE71" s="78"/>
    </row>
    <row r="72" spans="1:31" ht="15.75" x14ac:dyDescent="0.25">
      <c r="A72" s="145" t="s">
        <v>76</v>
      </c>
      <c r="B72" s="181">
        <v>0</v>
      </c>
      <c r="C72" s="76">
        <v>0</v>
      </c>
      <c r="D72" s="76">
        <f>B72-C72</f>
        <v>0</v>
      </c>
      <c r="E72" s="175" t="str">
        <f t="shared" si="28"/>
        <v>-</v>
      </c>
      <c r="F72" s="207"/>
      <c r="G72" s="213">
        <v>0</v>
      </c>
      <c r="H72" s="130">
        <v>0</v>
      </c>
      <c r="I72" s="130">
        <f>G72-H72</f>
        <v>0</v>
      </c>
      <c r="J72" s="220" t="str">
        <f t="shared" si="30"/>
        <v>-</v>
      </c>
      <c r="K72" s="207"/>
      <c r="L72" s="181">
        <v>0</v>
      </c>
      <c r="M72" s="76">
        <v>0</v>
      </c>
      <c r="N72" s="76">
        <f>L72-M72</f>
        <v>0</v>
      </c>
      <c r="O72" s="175" t="str">
        <f t="shared" si="42"/>
        <v>-</v>
      </c>
      <c r="P72" s="207"/>
      <c r="Q72" s="213">
        <v>0</v>
      </c>
      <c r="R72" s="130">
        <v>0</v>
      </c>
      <c r="S72" s="130">
        <f>Q72-R72</f>
        <v>0</v>
      </c>
      <c r="T72" s="220" t="str">
        <f t="shared" si="43"/>
        <v>-</v>
      </c>
      <c r="U72" s="207"/>
      <c r="V72" s="181">
        <f t="shared" si="44"/>
        <v>0</v>
      </c>
      <c r="W72" s="76">
        <f t="shared" si="44"/>
        <v>0</v>
      </c>
      <c r="X72" s="76">
        <f>V72-W72</f>
        <v>0</v>
      </c>
      <c r="Y72" s="175" t="str">
        <f t="shared" si="38"/>
        <v>-</v>
      </c>
      <c r="Z72" s="207"/>
      <c r="AA72" s="181">
        <v>0</v>
      </c>
      <c r="AB72" s="76">
        <f>AA72-W72</f>
        <v>0</v>
      </c>
      <c r="AC72" s="175" t="str">
        <f t="shared" si="40"/>
        <v>-</v>
      </c>
      <c r="AD72" s="165"/>
      <c r="AE72" s="78"/>
    </row>
    <row r="73" spans="1:31" ht="15.75" x14ac:dyDescent="0.25">
      <c r="A73" s="145" t="s">
        <v>77</v>
      </c>
      <c r="B73" s="181">
        <v>16129</v>
      </c>
      <c r="C73" s="76">
        <v>8196</v>
      </c>
      <c r="D73" s="76">
        <f>B73-C73</f>
        <v>7933</v>
      </c>
      <c r="E73" s="175">
        <f t="shared" si="28"/>
        <v>0.4918469836939674</v>
      </c>
      <c r="F73" s="205"/>
      <c r="G73" s="213">
        <v>16129</v>
      </c>
      <c r="H73" s="130">
        <v>11950</v>
      </c>
      <c r="I73" s="130">
        <f>G73-H73</f>
        <v>4179</v>
      </c>
      <c r="J73" s="220">
        <f t="shared" si="30"/>
        <v>0.25909851819703639</v>
      </c>
      <c r="K73" s="205"/>
      <c r="L73" s="181">
        <v>0</v>
      </c>
      <c r="M73" s="76">
        <v>0</v>
      </c>
      <c r="N73" s="76">
        <f>L73-M73</f>
        <v>0</v>
      </c>
      <c r="O73" s="175" t="str">
        <f t="shared" si="42"/>
        <v>-</v>
      </c>
      <c r="P73" s="205"/>
      <c r="Q73" s="213">
        <v>0</v>
      </c>
      <c r="R73" s="130">
        <v>0</v>
      </c>
      <c r="S73" s="130">
        <f>Q73-R73</f>
        <v>0</v>
      </c>
      <c r="T73" s="220" t="str">
        <f t="shared" si="43"/>
        <v>-</v>
      </c>
      <c r="U73" s="205"/>
      <c r="V73" s="181">
        <f t="shared" si="44"/>
        <v>32258</v>
      </c>
      <c r="W73" s="76">
        <f t="shared" si="44"/>
        <v>20146</v>
      </c>
      <c r="X73" s="76">
        <f>V73-W73</f>
        <v>12112</v>
      </c>
      <c r="Y73" s="175">
        <f t="shared" si="38"/>
        <v>0.37547275094550187</v>
      </c>
      <c r="Z73" s="205"/>
      <c r="AA73" s="181">
        <v>64516.800000000003</v>
      </c>
      <c r="AB73" s="76">
        <f>AA73-W73</f>
        <v>44370.8</v>
      </c>
      <c r="AC73" s="175">
        <f t="shared" si="40"/>
        <v>0.68774024750142604</v>
      </c>
      <c r="AD73" s="163"/>
      <c r="AE73" s="78"/>
    </row>
    <row r="74" spans="1:31" ht="15.75" x14ac:dyDescent="0.25">
      <c r="A74" s="153" t="s">
        <v>78</v>
      </c>
      <c r="B74" s="181"/>
      <c r="C74" s="76"/>
      <c r="D74" s="76">
        <f>B74-C74</f>
        <v>0</v>
      </c>
      <c r="E74" s="176" t="str">
        <f t="shared" ref="E74:E76" si="45">IF(ISERROR(D74/B74),"-",D74/B74)</f>
        <v>-</v>
      </c>
      <c r="F74" s="205"/>
      <c r="G74" s="226">
        <v>0</v>
      </c>
      <c r="H74" s="135">
        <v>0</v>
      </c>
      <c r="I74" s="130">
        <f>G74-H74</f>
        <v>0</v>
      </c>
      <c r="J74" s="214" t="str">
        <f t="shared" ref="J74:J76" si="46">IF(ISERROR(I74/G74),"-",I74/G74)</f>
        <v>-</v>
      </c>
      <c r="K74" s="205"/>
      <c r="L74" s="181"/>
      <c r="M74" s="76"/>
      <c r="N74" s="76">
        <f>L74-M74</f>
        <v>0</v>
      </c>
      <c r="O74" s="176" t="str">
        <f t="shared" si="42"/>
        <v>-</v>
      </c>
      <c r="P74" s="205"/>
      <c r="Q74" s="213">
        <v>0</v>
      </c>
      <c r="R74" s="130">
        <v>0</v>
      </c>
      <c r="S74" s="130">
        <f>Q74-R74</f>
        <v>0</v>
      </c>
      <c r="T74" s="214" t="str">
        <f t="shared" si="43"/>
        <v>-</v>
      </c>
      <c r="U74" s="205"/>
      <c r="V74" s="181">
        <f t="shared" si="44"/>
        <v>0</v>
      </c>
      <c r="W74" s="76">
        <f t="shared" si="44"/>
        <v>0</v>
      </c>
      <c r="X74" s="76">
        <f>V74-W74</f>
        <v>0</v>
      </c>
      <c r="Y74" s="175" t="str">
        <f t="shared" si="38"/>
        <v>-</v>
      </c>
      <c r="Z74" s="205"/>
      <c r="AA74" s="181">
        <v>0</v>
      </c>
      <c r="AB74" s="76">
        <f>AA74-W74</f>
        <v>0</v>
      </c>
      <c r="AC74" s="175" t="str">
        <f t="shared" si="40"/>
        <v>-</v>
      </c>
      <c r="AD74" s="163"/>
      <c r="AE74" s="77"/>
    </row>
    <row r="75" spans="1:31" ht="15.75" x14ac:dyDescent="0.25">
      <c r="A75" s="64"/>
      <c r="B75" s="181"/>
      <c r="C75" s="76"/>
      <c r="D75" s="76">
        <f>B75-C75</f>
        <v>0</v>
      </c>
      <c r="E75" s="176" t="str">
        <f t="shared" si="45"/>
        <v>-</v>
      </c>
      <c r="F75" s="205"/>
      <c r="G75" s="226"/>
      <c r="H75" s="135"/>
      <c r="I75" s="130">
        <f>G75-H75</f>
        <v>0</v>
      </c>
      <c r="J75" s="214" t="str">
        <f t="shared" si="46"/>
        <v>-</v>
      </c>
      <c r="K75" s="205"/>
      <c r="L75" s="181"/>
      <c r="M75" s="76"/>
      <c r="N75" s="76">
        <f>L75-M75</f>
        <v>0</v>
      </c>
      <c r="O75" s="176" t="str">
        <f t="shared" si="42"/>
        <v>-</v>
      </c>
      <c r="P75" s="205"/>
      <c r="Q75" s="213">
        <v>0</v>
      </c>
      <c r="R75" s="130">
        <v>0</v>
      </c>
      <c r="S75" s="130">
        <f>Q75-R75</f>
        <v>0</v>
      </c>
      <c r="T75" s="214" t="str">
        <f t="shared" si="43"/>
        <v>-</v>
      </c>
      <c r="U75" s="205"/>
      <c r="V75" s="181">
        <f t="shared" si="44"/>
        <v>0</v>
      </c>
      <c r="W75" s="76">
        <f t="shared" si="44"/>
        <v>0</v>
      </c>
      <c r="X75" s="76">
        <f>V75-W75</f>
        <v>0</v>
      </c>
      <c r="Y75" s="176" t="str">
        <f t="shared" ref="Y75:Y76" si="47">IF(ISERROR(X75/V75),"-",X75/V75)</f>
        <v>-</v>
      </c>
      <c r="Z75" s="205"/>
      <c r="AA75" s="181">
        <v>0</v>
      </c>
      <c r="AB75" s="76">
        <f>AA75-W75</f>
        <v>0</v>
      </c>
      <c r="AC75" s="176" t="str">
        <f t="shared" ref="AC75:AC76" si="48">IF(ISERROR(AB75/AA75),"-",AB75/AA75)</f>
        <v>-</v>
      </c>
      <c r="AD75" s="163"/>
      <c r="AE75" s="77"/>
    </row>
    <row r="76" spans="1:31" ht="15.75" x14ac:dyDescent="0.25">
      <c r="A76" s="146" t="s">
        <v>79</v>
      </c>
      <c r="B76" s="177">
        <f>SUM(B42:B75)</f>
        <v>468876</v>
      </c>
      <c r="C76" s="110">
        <f>SUM(C42:C75)</f>
        <v>276557.96999999997</v>
      </c>
      <c r="D76" s="110">
        <f>SUM(D42:D75)</f>
        <v>192318.03</v>
      </c>
      <c r="E76" s="178">
        <f t="shared" si="45"/>
        <v>0.41016821078494098</v>
      </c>
      <c r="F76" s="206"/>
      <c r="G76" s="177">
        <f>SUM(G42:G75)</f>
        <v>409997</v>
      </c>
      <c r="H76" s="110">
        <f>SUM(H42:H75)</f>
        <v>113268</v>
      </c>
      <c r="I76" s="110">
        <f>SUM(I42:I75)</f>
        <v>296729</v>
      </c>
      <c r="J76" s="178">
        <f t="shared" si="46"/>
        <v>0.72373456391144331</v>
      </c>
      <c r="K76" s="206"/>
      <c r="L76" s="177">
        <f>SUM(L42:L75)</f>
        <v>0</v>
      </c>
      <c r="M76" s="110">
        <f>SUM(M42:M75)</f>
        <v>0</v>
      </c>
      <c r="N76" s="110">
        <f>SUM(N42:N75)</f>
        <v>0</v>
      </c>
      <c r="O76" s="178" t="str">
        <f t="shared" si="42"/>
        <v>-</v>
      </c>
      <c r="P76" s="206"/>
      <c r="Q76" s="177">
        <f>SUM(Q42:Q75)</f>
        <v>0</v>
      </c>
      <c r="R76" s="110">
        <f>SUM(R42:R75)</f>
        <v>0</v>
      </c>
      <c r="S76" s="110">
        <f>SUM(S42:S75)</f>
        <v>0</v>
      </c>
      <c r="T76" s="178" t="str">
        <f t="shared" si="43"/>
        <v>-</v>
      </c>
      <c r="U76" s="206"/>
      <c r="V76" s="177">
        <f>SUM(V42:V75)</f>
        <v>878873</v>
      </c>
      <c r="W76" s="110">
        <f>SUM(W42:W75)</f>
        <v>389825.97</v>
      </c>
      <c r="X76" s="110">
        <f>SUM(X42:X75)</f>
        <v>489047.03</v>
      </c>
      <c r="Y76" s="178">
        <f t="shared" si="47"/>
        <v>0.55644789406433015</v>
      </c>
      <c r="Z76" s="206"/>
      <c r="AA76" s="177">
        <f>SUM(AA42:AA75)</f>
        <v>1442771.9800000002</v>
      </c>
      <c r="AB76" s="110">
        <f>SUM(AB42:AB75)</f>
        <v>1052946.0099999998</v>
      </c>
      <c r="AC76" s="178">
        <f t="shared" si="48"/>
        <v>0.72980763737870735</v>
      </c>
      <c r="AD76" s="164"/>
      <c r="AE76" s="80"/>
    </row>
    <row r="77" spans="1:31" ht="15.75" x14ac:dyDescent="0.25">
      <c r="A77" s="154"/>
      <c r="B77" s="191"/>
      <c r="C77" s="91"/>
      <c r="D77" s="91"/>
      <c r="E77" s="192"/>
      <c r="F77" s="203"/>
      <c r="G77" s="228"/>
      <c r="H77" s="136"/>
      <c r="I77" s="136"/>
      <c r="J77" s="229"/>
      <c r="K77" s="203"/>
      <c r="L77" s="191"/>
      <c r="M77" s="91"/>
      <c r="N77" s="91"/>
      <c r="O77" s="192"/>
      <c r="P77" s="203"/>
      <c r="Q77" s="228"/>
      <c r="R77" s="136"/>
      <c r="S77" s="136"/>
      <c r="T77" s="238"/>
      <c r="U77" s="203"/>
      <c r="V77" s="241"/>
      <c r="W77" s="92"/>
      <c r="X77" s="91"/>
      <c r="Y77" s="192"/>
      <c r="Z77" s="203"/>
      <c r="AA77" s="241"/>
      <c r="AB77" s="91"/>
      <c r="AC77" s="192"/>
      <c r="AD77" s="161"/>
      <c r="AE77" s="77"/>
    </row>
    <row r="78" spans="1:31" ht="15.75" x14ac:dyDescent="0.25">
      <c r="A78" s="146" t="s">
        <v>80</v>
      </c>
      <c r="B78" s="177">
        <f>B40+B76+B77</f>
        <v>934727</v>
      </c>
      <c r="C78" s="110">
        <f>C40+C76+C77</f>
        <v>709182.97</v>
      </c>
      <c r="D78" s="110">
        <f>D40+D76+D77</f>
        <v>225544.03</v>
      </c>
      <c r="E78" s="178">
        <f>IF(ISERROR(D78/B78),"-",D78/B78)</f>
        <v>0.24129401418809984</v>
      </c>
      <c r="F78" s="207"/>
      <c r="G78" s="177">
        <f>G40+G76+G77</f>
        <v>875848</v>
      </c>
      <c r="H78" s="110">
        <f>H40+H76+H77</f>
        <v>556806</v>
      </c>
      <c r="I78" s="110">
        <f>I40+I76+I77</f>
        <v>319042</v>
      </c>
      <c r="J78" s="178">
        <f>IF(ISERROR(I78/G78),"-",I78/G78)</f>
        <v>0.36426640238945568</v>
      </c>
      <c r="K78" s="207"/>
      <c r="L78" s="177">
        <f>L40+L76+L77</f>
        <v>0</v>
      </c>
      <c r="M78" s="110">
        <f>M40+M76+M77</f>
        <v>0</v>
      </c>
      <c r="N78" s="110">
        <f>N40+N76+N77</f>
        <v>0</v>
      </c>
      <c r="O78" s="178" t="str">
        <f>IF(ISERROR(N78/L78),"-",N78/L78)</f>
        <v>-</v>
      </c>
      <c r="P78" s="207"/>
      <c r="Q78" s="177">
        <f>Q40+Q76+Q77</f>
        <v>0</v>
      </c>
      <c r="R78" s="110">
        <f>R40+R76+R77</f>
        <v>0</v>
      </c>
      <c r="S78" s="110">
        <f>S40+S76+S77</f>
        <v>0</v>
      </c>
      <c r="T78" s="178" t="str">
        <f>IF(ISERROR(S78/Q78),"-",S78/Q78)</f>
        <v>-</v>
      </c>
      <c r="U78" s="207"/>
      <c r="V78" s="177">
        <f>V40+V76+V77</f>
        <v>1810575</v>
      </c>
      <c r="W78" s="110">
        <f>W40+W76+W77</f>
        <v>1265988.97</v>
      </c>
      <c r="X78" s="110">
        <f>X40+X76+X77</f>
        <v>544586.03</v>
      </c>
      <c r="Y78" s="178">
        <f>IF(ISERROR(X78/V78),"-",X78/V78)</f>
        <v>0.30078070778620053</v>
      </c>
      <c r="Z78" s="207"/>
      <c r="AA78" s="177">
        <f>AA40+AA76+AA77</f>
        <v>3305073.08</v>
      </c>
      <c r="AB78" s="110">
        <f>AB40+AB76+AB77</f>
        <v>2039084.1099999996</v>
      </c>
      <c r="AC78" s="178">
        <f>IF(ISERROR(AB78/AA78),"-",AB78/AA78)</f>
        <v>0.61695583142748534</v>
      </c>
      <c r="AD78" s="165"/>
      <c r="AE78" s="80"/>
    </row>
    <row r="79" spans="1:31" ht="15.75" x14ac:dyDescent="0.25">
      <c r="A79" s="155"/>
      <c r="B79" s="191"/>
      <c r="C79" s="91"/>
      <c r="D79" s="91"/>
      <c r="E79" s="192"/>
      <c r="F79" s="203"/>
      <c r="G79" s="228"/>
      <c r="H79" s="136"/>
      <c r="I79" s="136"/>
      <c r="J79" s="229"/>
      <c r="K79" s="203"/>
      <c r="L79" s="191"/>
      <c r="M79" s="91"/>
      <c r="N79" s="91"/>
      <c r="O79" s="192"/>
      <c r="P79" s="203"/>
      <c r="Q79" s="228"/>
      <c r="R79" s="136"/>
      <c r="S79" s="136"/>
      <c r="T79" s="229"/>
      <c r="U79" s="203"/>
      <c r="V79" s="241"/>
      <c r="W79" s="92"/>
      <c r="X79" s="91"/>
      <c r="Y79" s="192"/>
      <c r="Z79" s="203"/>
      <c r="AA79" s="241"/>
      <c r="AB79" s="91"/>
      <c r="AC79" s="192"/>
      <c r="AD79" s="161"/>
      <c r="AE79" s="77"/>
    </row>
    <row r="80" spans="1:31" ht="15.75" x14ac:dyDescent="0.25">
      <c r="A80" s="146" t="s">
        <v>81</v>
      </c>
      <c r="B80" s="177">
        <f>B27-B78</f>
        <v>1196048</v>
      </c>
      <c r="C80" s="110">
        <f>C27-C78</f>
        <v>1300385.03</v>
      </c>
      <c r="D80" s="110">
        <f>D27+D78</f>
        <v>104337.03</v>
      </c>
      <c r="E80" s="178">
        <f>IF(ISERROR(D80/B80),"-",D80/B80)</f>
        <v>8.7234818335050091E-2</v>
      </c>
      <c r="F80" s="207"/>
      <c r="G80" s="177">
        <f>G27-G78</f>
        <v>-861063</v>
      </c>
      <c r="H80" s="110">
        <f>H27-H78</f>
        <v>-345899.98</v>
      </c>
      <c r="I80" s="110">
        <f>I27+I78</f>
        <v>515163.02</v>
      </c>
      <c r="J80" s="178">
        <f>IF(ISERROR(I80/G80),"-",I80/G80)</f>
        <v>-0.59828725656543136</v>
      </c>
      <c r="K80" s="207"/>
      <c r="L80" s="177">
        <f>L27-L78</f>
        <v>0</v>
      </c>
      <c r="M80" s="110">
        <f>M27-M78</f>
        <v>0</v>
      </c>
      <c r="N80" s="110">
        <f>N27+N78</f>
        <v>0</v>
      </c>
      <c r="O80" s="178" t="str">
        <f>IF(ISERROR(N80/L80),"-",N80/L80)</f>
        <v>-</v>
      </c>
      <c r="P80" s="207"/>
      <c r="Q80" s="177">
        <f>Q27-Q78</f>
        <v>0</v>
      </c>
      <c r="R80" s="110">
        <f>R27-R78</f>
        <v>0</v>
      </c>
      <c r="S80" s="110">
        <f>S27+S78</f>
        <v>0</v>
      </c>
      <c r="T80" s="178" t="str">
        <f>IF(ISERROR(S80/Q80),"-",S80/Q80)</f>
        <v>-</v>
      </c>
      <c r="U80" s="207"/>
      <c r="V80" s="242">
        <f>V27-V78</f>
        <v>334985</v>
      </c>
      <c r="W80" s="109">
        <f>W27-W78</f>
        <v>954485.05</v>
      </c>
      <c r="X80" s="109">
        <f>X27+X78</f>
        <v>619500.05000000005</v>
      </c>
      <c r="Y80" s="243">
        <f>IF(ISERROR(X80/V80),"-",X80/V80)</f>
        <v>1.8493366867173158</v>
      </c>
      <c r="Z80" s="207"/>
      <c r="AA80" s="177">
        <f>AA27-AA78</f>
        <v>-1040183.9300000002</v>
      </c>
      <c r="AB80" s="110">
        <f>AB27-AB78</f>
        <v>-1994668.9799999997</v>
      </c>
      <c r="AC80" s="178">
        <f>IF(ISERROR(AB80/AA80),"-",AB80/AA80)</f>
        <v>1.9176118015974342</v>
      </c>
      <c r="AD80" s="165"/>
      <c r="AE80" s="80"/>
    </row>
    <row r="81" spans="1:31" ht="15.75" x14ac:dyDescent="0.25">
      <c r="A81" s="156"/>
      <c r="B81" s="193"/>
      <c r="C81" s="93"/>
      <c r="D81" s="94"/>
      <c r="E81" s="194"/>
      <c r="F81" s="111"/>
      <c r="G81" s="230"/>
      <c r="H81" s="137"/>
      <c r="I81" s="138"/>
      <c r="J81" s="231"/>
      <c r="K81" s="111"/>
      <c r="L81" s="193"/>
      <c r="M81" s="93"/>
      <c r="N81" s="94"/>
      <c r="O81" s="194"/>
      <c r="P81" s="111"/>
      <c r="Q81" s="230"/>
      <c r="R81" s="137"/>
      <c r="S81" s="138"/>
      <c r="T81" s="231"/>
      <c r="U81" s="111"/>
      <c r="V81" s="179"/>
      <c r="W81" s="81"/>
      <c r="X81" s="94"/>
      <c r="Y81" s="194"/>
      <c r="Z81" s="111"/>
      <c r="AA81" s="179"/>
      <c r="AB81" s="94"/>
      <c r="AC81" s="194"/>
      <c r="AD81" s="166"/>
      <c r="AE81" s="77"/>
    </row>
    <row r="82" spans="1:31" ht="15.75" x14ac:dyDescent="0.25">
      <c r="A82" s="148" t="s">
        <v>82</v>
      </c>
      <c r="B82" s="181"/>
      <c r="C82" s="76"/>
      <c r="D82" s="76">
        <f>B82-C82</f>
        <v>0</v>
      </c>
      <c r="E82" s="176" t="str">
        <f>IF(ISERROR(D82/B82),"-",D82/B82)</f>
        <v>-</v>
      </c>
      <c r="F82" s="207"/>
      <c r="G82" s="213"/>
      <c r="H82" s="130"/>
      <c r="I82" s="130">
        <f>G82-H82</f>
        <v>0</v>
      </c>
      <c r="J82" s="214" t="str">
        <f>IF(ISERROR(I82/G82),"-",I82/G82)</f>
        <v>-</v>
      </c>
      <c r="K82" s="207"/>
      <c r="L82" s="181"/>
      <c r="M82" s="76"/>
      <c r="N82" s="76">
        <f>L82-M82</f>
        <v>0</v>
      </c>
      <c r="O82" s="176" t="str">
        <f>IF(ISERROR(N82/L82),"-",N82/L82)</f>
        <v>-</v>
      </c>
      <c r="P82" s="207"/>
      <c r="Q82" s="213"/>
      <c r="R82" s="130"/>
      <c r="S82" s="130">
        <f>Q82-R82</f>
        <v>0</v>
      </c>
      <c r="T82" s="214" t="str">
        <f>IF(ISERROR(S82/Q82),"-",S82/Q82)</f>
        <v>-</v>
      </c>
      <c r="U82" s="207"/>
      <c r="V82" s="181">
        <f>B82+G82+L82+Q82</f>
        <v>0</v>
      </c>
      <c r="W82" s="76">
        <f>C82+H82+M82+R82</f>
        <v>0</v>
      </c>
      <c r="X82" s="76">
        <f>V82-W82</f>
        <v>0</v>
      </c>
      <c r="Y82" s="176" t="str">
        <f>IF(ISERROR(X82/V82),"-",X82/V82)</f>
        <v>-</v>
      </c>
      <c r="Z82" s="207"/>
      <c r="AA82" s="181">
        <f>G82+L82+Q82+V82</f>
        <v>0</v>
      </c>
      <c r="AB82" s="76">
        <f>AA82-W82</f>
        <v>0</v>
      </c>
      <c r="AC82" s="176" t="str">
        <f>IF(ISERROR(AB82/AA82),"-",AB82/AA82)</f>
        <v>-</v>
      </c>
      <c r="AD82" s="165"/>
      <c r="AE82" s="77"/>
    </row>
    <row r="83" spans="1:31" ht="15.75" x14ac:dyDescent="0.25">
      <c r="A83" s="149"/>
      <c r="B83" s="195"/>
      <c r="C83" s="95"/>
      <c r="D83" s="95"/>
      <c r="E83" s="196"/>
      <c r="F83" s="111"/>
      <c r="G83" s="232"/>
      <c r="H83" s="139"/>
      <c r="I83" s="139"/>
      <c r="J83" s="233"/>
      <c r="K83" s="111"/>
      <c r="L83" s="195"/>
      <c r="M83" s="95"/>
      <c r="N83" s="95"/>
      <c r="O83" s="196"/>
      <c r="P83" s="111"/>
      <c r="Q83" s="232"/>
      <c r="R83" s="139"/>
      <c r="S83" s="139"/>
      <c r="T83" s="233"/>
      <c r="U83" s="111"/>
      <c r="V83" s="195"/>
      <c r="W83" s="95"/>
      <c r="X83" s="95"/>
      <c r="Y83" s="196"/>
      <c r="Z83" s="111"/>
      <c r="AA83" s="195"/>
      <c r="AB83" s="95"/>
      <c r="AC83" s="196"/>
      <c r="AD83" s="166"/>
      <c r="AE83" s="77"/>
    </row>
    <row r="84" spans="1:31" ht="16.5" thickBot="1" x14ac:dyDescent="0.3">
      <c r="A84" s="157" t="s">
        <v>83</v>
      </c>
      <c r="B84" s="197">
        <f>B80-B82</f>
        <v>1196048</v>
      </c>
      <c r="C84" s="198">
        <f>C80-C82</f>
        <v>1300385.03</v>
      </c>
      <c r="D84" s="198">
        <f>D80+D82</f>
        <v>104337.03</v>
      </c>
      <c r="E84" s="199">
        <f>IF(ISERROR(D84/B84),"-",D84/B84)</f>
        <v>8.7234818335050091E-2</v>
      </c>
      <c r="F84" s="208"/>
      <c r="G84" s="197">
        <f>G80-G82</f>
        <v>-861063</v>
      </c>
      <c r="H84" s="198">
        <f>H80-H82</f>
        <v>-345899.98</v>
      </c>
      <c r="I84" s="198">
        <f>I80+I82</f>
        <v>515163.02</v>
      </c>
      <c r="J84" s="199">
        <f>IF(ISERROR(I84/G84),"-",I84/G84)</f>
        <v>-0.59828725656543136</v>
      </c>
      <c r="K84" s="208"/>
      <c r="L84" s="197">
        <f>L80-L82</f>
        <v>0</v>
      </c>
      <c r="M84" s="198">
        <f>M80-M82</f>
        <v>0</v>
      </c>
      <c r="N84" s="198">
        <f>N80+N82</f>
        <v>0</v>
      </c>
      <c r="O84" s="199" t="str">
        <f>IF(ISERROR(N84/L84),"-",N84/L84)</f>
        <v>-</v>
      </c>
      <c r="P84" s="208"/>
      <c r="Q84" s="197">
        <f>Q80-Q82</f>
        <v>0</v>
      </c>
      <c r="R84" s="198">
        <f>R80-R82</f>
        <v>0</v>
      </c>
      <c r="S84" s="198">
        <f>S80+S82</f>
        <v>0</v>
      </c>
      <c r="T84" s="199" t="str">
        <f>IF(ISERROR(S84/Q84),"-",S84/Q84)</f>
        <v>-</v>
      </c>
      <c r="U84" s="208"/>
      <c r="V84" s="244">
        <f>V80-V82</f>
        <v>334985</v>
      </c>
      <c r="W84" s="245">
        <f>W80-W82</f>
        <v>954485.05</v>
      </c>
      <c r="X84" s="245">
        <f>X80+X82</f>
        <v>619500.05000000005</v>
      </c>
      <c r="Y84" s="246">
        <f>IF(ISERROR(X84/V84),"-",X84/V84)</f>
        <v>1.8493366867173158</v>
      </c>
      <c r="Z84" s="208"/>
      <c r="AA84" s="244">
        <f>AA80-AA82</f>
        <v>-1040183.9300000002</v>
      </c>
      <c r="AB84" s="245">
        <f>AA84-W84</f>
        <v>-1994668.9800000002</v>
      </c>
      <c r="AC84" s="246">
        <f>IF(ISERROR(AB84/AA84),"-",AB84/AA84)</f>
        <v>1.9176118015974346</v>
      </c>
      <c r="AD84" s="167"/>
      <c r="AE84" s="96"/>
    </row>
  </sheetData>
  <mergeCells count="13">
    <mergeCell ref="Q9:T9"/>
    <mergeCell ref="V9:Y9"/>
    <mergeCell ref="AA9:AC9"/>
    <mergeCell ref="AE9:AE11"/>
    <mergeCell ref="D10:E10"/>
    <mergeCell ref="I10:J10"/>
    <mergeCell ref="N10:O10"/>
    <mergeCell ref="S10:T10"/>
    <mergeCell ref="X10:Y10"/>
    <mergeCell ref="AB10:AC10"/>
    <mergeCell ref="B9:E9"/>
    <mergeCell ref="G9:J9"/>
    <mergeCell ref="L9:O9"/>
  </mergeCells>
  <pageMargins left="0.7" right="0.7" top="0.75" bottom="0.75" header="0.3" footer="0.3"/>
  <pageSetup paperSize="5" scale="4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W73"/>
  <sheetViews>
    <sheetView topLeftCell="A54" zoomScaleNormal="100" workbookViewId="0">
      <selection activeCell="G14" sqref="G14"/>
    </sheetView>
  </sheetViews>
  <sheetFormatPr defaultColWidth="8.85546875" defaultRowHeight="15.75" customHeight="1" x14ac:dyDescent="0.25"/>
  <cols>
    <col min="1" max="1" width="48.42578125" style="8" customWidth="1"/>
    <col min="2" max="2" width="19.85546875" style="8" customWidth="1"/>
    <col min="3" max="3" width="20" style="8" customWidth="1"/>
    <col min="4" max="4" width="20.7109375" style="8" customWidth="1"/>
    <col min="5" max="5" width="21.140625" style="8" customWidth="1"/>
    <col min="6" max="6" width="20.5703125" style="8" customWidth="1"/>
    <col min="7" max="231" width="8.85546875" style="8" customWidth="1"/>
    <col min="232" max="16384" width="8.85546875" style="2"/>
  </cols>
  <sheetData>
    <row r="1" spans="1:231" ht="18.75" customHeight="1" x14ac:dyDescent="0.25">
      <c r="A1" s="862" t="s">
        <v>0</v>
      </c>
      <c r="B1" s="879"/>
      <c r="C1" s="879"/>
      <c r="D1" s="879"/>
      <c r="E1" s="879"/>
      <c r="F1" s="879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</row>
    <row r="2" spans="1:231" ht="18.75" customHeight="1" x14ac:dyDescent="0.25">
      <c r="A2" s="3"/>
      <c r="B2" s="4"/>
      <c r="C2" s="4"/>
      <c r="D2" s="4"/>
      <c r="E2" s="4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</row>
    <row r="3" spans="1:231" s="9" customFormat="1" ht="18.75" customHeight="1" x14ac:dyDescent="0.3">
      <c r="A3" s="858" t="s">
        <v>209</v>
      </c>
      <c r="B3" s="859"/>
      <c r="C3" s="859"/>
      <c r="D3" s="859"/>
      <c r="E3" s="859"/>
      <c r="F3" s="859"/>
    </row>
    <row r="4" spans="1:231" ht="18.75" customHeight="1" x14ac:dyDescent="0.3">
      <c r="A4" s="880" t="s">
        <v>84</v>
      </c>
      <c r="B4" s="860"/>
      <c r="C4" s="860"/>
      <c r="D4" s="860"/>
      <c r="E4" s="860"/>
      <c r="F4" s="86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</row>
    <row r="5" spans="1:231" ht="18.75" customHeight="1" x14ac:dyDescent="0.3">
      <c r="A5" s="880" t="s">
        <v>85</v>
      </c>
      <c r="B5" s="881"/>
      <c r="C5" s="881"/>
      <c r="D5" s="881"/>
      <c r="E5" s="881"/>
      <c r="F5" s="88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</row>
    <row r="6" spans="1:231" ht="18.75" customHeight="1" x14ac:dyDescent="0.3">
      <c r="A6" s="858" t="s">
        <v>210</v>
      </c>
      <c r="B6" s="882"/>
      <c r="C6" s="882"/>
      <c r="D6" s="882"/>
      <c r="E6" s="882"/>
      <c r="F6" s="88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</row>
    <row r="7" spans="1:231" ht="18.75" customHeight="1" x14ac:dyDescent="0.3">
      <c r="A7" s="858" t="s">
        <v>5</v>
      </c>
      <c r="B7" s="859"/>
      <c r="C7" s="859"/>
      <c r="D7" s="859"/>
      <c r="E7" s="859"/>
      <c r="F7" s="859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</row>
    <row r="8" spans="1:231" ht="16.5" customHeight="1" thickBot="1" x14ac:dyDescent="0.3">
      <c r="A8" s="6"/>
      <c r="B8" s="34"/>
      <c r="C8" s="7"/>
      <c r="D8" s="34"/>
      <c r="E8" s="7"/>
      <c r="F8" s="3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</row>
    <row r="9" spans="1:231" ht="17.45" customHeight="1" x14ac:dyDescent="0.25">
      <c r="A9" s="17"/>
      <c r="B9" s="35" t="s">
        <v>162</v>
      </c>
      <c r="C9" s="49" t="s">
        <v>163</v>
      </c>
      <c r="D9" s="35" t="s">
        <v>98</v>
      </c>
      <c r="E9" s="49" t="s">
        <v>164</v>
      </c>
      <c r="F9" s="35" t="s">
        <v>165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</row>
    <row r="10" spans="1:231" ht="15" customHeight="1" x14ac:dyDescent="0.25">
      <c r="A10" s="18"/>
      <c r="B10" s="36">
        <v>43831</v>
      </c>
      <c r="C10" s="50">
        <v>43921</v>
      </c>
      <c r="D10" s="36">
        <v>44012</v>
      </c>
      <c r="E10" s="50">
        <v>44104</v>
      </c>
      <c r="F10" s="61">
        <v>44196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</row>
    <row r="11" spans="1:231" ht="15" customHeight="1" thickBot="1" x14ac:dyDescent="0.3">
      <c r="A11" s="19"/>
      <c r="B11" s="37" t="s">
        <v>19</v>
      </c>
      <c r="C11" s="51" t="s">
        <v>19</v>
      </c>
      <c r="D11" s="37" t="s">
        <v>19</v>
      </c>
      <c r="E11" s="51" t="s">
        <v>19</v>
      </c>
      <c r="F11" s="37" t="s">
        <v>19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</row>
    <row r="12" spans="1:231" ht="15" customHeight="1" x14ac:dyDescent="0.25">
      <c r="A12" s="20" t="s">
        <v>99</v>
      </c>
      <c r="B12" s="38"/>
      <c r="C12" s="52"/>
      <c r="D12" s="38"/>
      <c r="E12" s="52"/>
      <c r="F12" s="38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</row>
    <row r="13" spans="1:231" ht="15" customHeight="1" x14ac:dyDescent="0.25">
      <c r="A13" s="21" t="s">
        <v>100</v>
      </c>
      <c r="B13" s="39"/>
      <c r="C13" s="12"/>
      <c r="D13" s="39"/>
      <c r="E13" s="12"/>
      <c r="F13" s="39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</row>
    <row r="14" spans="1:231" ht="15" customHeight="1" x14ac:dyDescent="0.25">
      <c r="A14" s="10" t="s">
        <v>101</v>
      </c>
      <c r="B14" s="39">
        <v>17014215.899999999</v>
      </c>
      <c r="C14" s="12">
        <v>16862806.530000001</v>
      </c>
      <c r="D14" s="39">
        <v>17364342.170000002</v>
      </c>
      <c r="E14" s="12">
        <v>0</v>
      </c>
      <c r="F14" s="39">
        <v>0</v>
      </c>
      <c r="G14" s="305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</row>
    <row r="15" spans="1:231" ht="15" customHeight="1" x14ac:dyDescent="0.25">
      <c r="A15" s="11" t="s">
        <v>102</v>
      </c>
      <c r="B15" s="39">
        <v>0</v>
      </c>
      <c r="C15" s="12">
        <v>0</v>
      </c>
      <c r="D15" s="39">
        <v>0</v>
      </c>
      <c r="E15" s="12">
        <v>0</v>
      </c>
      <c r="F15" s="39"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</row>
    <row r="16" spans="1:231" ht="15" customHeight="1" x14ac:dyDescent="0.25">
      <c r="A16" s="11" t="s">
        <v>103</v>
      </c>
      <c r="B16" s="39">
        <v>4716.53</v>
      </c>
      <c r="C16" s="12">
        <v>4716.53</v>
      </c>
      <c r="D16" s="39">
        <v>4716.53</v>
      </c>
      <c r="E16" s="12">
        <v>0</v>
      </c>
      <c r="F16" s="39"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</row>
    <row r="17" spans="1:231" ht="15" customHeight="1" x14ac:dyDescent="0.25">
      <c r="A17" s="11" t="s">
        <v>104</v>
      </c>
      <c r="B17" s="39">
        <v>0</v>
      </c>
      <c r="C17" s="12">
        <v>0</v>
      </c>
      <c r="D17" s="39">
        <v>0</v>
      </c>
      <c r="E17" s="12">
        <v>0</v>
      </c>
      <c r="F17" s="39"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</row>
    <row r="18" spans="1:231" ht="15" customHeight="1" x14ac:dyDescent="0.25">
      <c r="A18" s="11" t="s">
        <v>105</v>
      </c>
      <c r="B18" s="39">
        <v>48224.08</v>
      </c>
      <c r="C18" s="12">
        <v>43906.75</v>
      </c>
      <c r="D18" s="39">
        <v>83256.38</v>
      </c>
      <c r="E18" s="12">
        <v>0</v>
      </c>
      <c r="F18" s="39"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</row>
    <row r="19" spans="1:231" ht="15" customHeight="1" x14ac:dyDescent="0.25">
      <c r="A19" s="22" t="s">
        <v>106</v>
      </c>
      <c r="B19" s="40">
        <v>0</v>
      </c>
      <c r="C19" s="53">
        <v>0</v>
      </c>
      <c r="D19" s="40">
        <v>0</v>
      </c>
      <c r="E19" s="53">
        <v>0</v>
      </c>
      <c r="F19" s="40"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</row>
    <row r="20" spans="1:231" ht="15" customHeight="1" x14ac:dyDescent="0.25">
      <c r="A20" s="23" t="s">
        <v>107</v>
      </c>
      <c r="B20" s="41">
        <f>SUM(B14:B19)</f>
        <v>17067156.509999998</v>
      </c>
      <c r="C20" s="54">
        <f>SUM(C14:C19)</f>
        <v>16911429.810000002</v>
      </c>
      <c r="D20" s="41">
        <f>SUM(D14:D19)</f>
        <v>17452315.080000002</v>
      </c>
      <c r="E20" s="54">
        <f>SUM(E14:E19)</f>
        <v>0</v>
      </c>
      <c r="F20" s="41">
        <f>SUM(F14:F19)</f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</row>
    <row r="21" spans="1:231" ht="15" customHeight="1" x14ac:dyDescent="0.25">
      <c r="A21" s="24"/>
      <c r="B21" s="42"/>
      <c r="C21" s="55"/>
      <c r="D21" s="42"/>
      <c r="E21" s="55"/>
      <c r="F21" s="4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</row>
    <row r="22" spans="1:231" ht="15" customHeight="1" x14ac:dyDescent="0.25">
      <c r="A22" s="25" t="s">
        <v>108</v>
      </c>
      <c r="B22" s="39"/>
      <c r="C22" s="12"/>
      <c r="D22" s="39"/>
      <c r="E22" s="12"/>
      <c r="F22" s="39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</row>
    <row r="23" spans="1:231" ht="15" customHeight="1" x14ac:dyDescent="0.25">
      <c r="A23" s="11" t="s">
        <v>109</v>
      </c>
      <c r="B23" s="39">
        <v>0</v>
      </c>
      <c r="C23" s="12">
        <v>0</v>
      </c>
      <c r="D23" s="39">
        <v>0</v>
      </c>
      <c r="E23" s="12">
        <v>0</v>
      </c>
      <c r="F23" s="39">
        <v>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</row>
    <row r="24" spans="1:231" ht="15" customHeight="1" x14ac:dyDescent="0.25">
      <c r="A24" s="11" t="s">
        <v>110</v>
      </c>
      <c r="B24" s="39">
        <v>0</v>
      </c>
      <c r="C24" s="12">
        <v>0</v>
      </c>
      <c r="D24" s="39">
        <v>0</v>
      </c>
      <c r="E24" s="12">
        <v>0</v>
      </c>
      <c r="F24" s="39">
        <v>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</row>
    <row r="25" spans="1:231" ht="15" customHeight="1" x14ac:dyDescent="0.25">
      <c r="A25" s="11" t="s">
        <v>111</v>
      </c>
      <c r="B25" s="39">
        <v>0</v>
      </c>
      <c r="C25" s="12">
        <v>0</v>
      </c>
      <c r="D25" s="39">
        <v>0</v>
      </c>
      <c r="E25" s="12">
        <v>0</v>
      </c>
      <c r="F25" s="39"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</row>
    <row r="26" spans="1:231" ht="15" customHeight="1" x14ac:dyDescent="0.25">
      <c r="A26" s="11" t="s">
        <v>112</v>
      </c>
      <c r="B26" s="39">
        <v>0</v>
      </c>
      <c r="C26" s="12">
        <v>0</v>
      </c>
      <c r="D26" s="39">
        <v>0</v>
      </c>
      <c r="E26" s="12">
        <v>0</v>
      </c>
      <c r="F26" s="39">
        <v>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</row>
    <row r="27" spans="1:231" ht="15" customHeight="1" x14ac:dyDescent="0.25">
      <c r="A27" s="11" t="s">
        <v>197</v>
      </c>
      <c r="B27" s="39"/>
      <c r="C27" s="12"/>
      <c r="D27" s="39"/>
      <c r="E27" s="12"/>
      <c r="F27" s="39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</row>
    <row r="28" spans="1:231" ht="15" customHeight="1" x14ac:dyDescent="0.25">
      <c r="A28" s="11" t="s">
        <v>211</v>
      </c>
      <c r="B28" s="39"/>
      <c r="C28" s="12"/>
      <c r="D28" s="39"/>
      <c r="E28" s="12"/>
      <c r="F28" s="39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</row>
    <row r="29" spans="1:231" ht="15" customHeight="1" x14ac:dyDescent="0.25">
      <c r="A29" s="22" t="s">
        <v>115</v>
      </c>
      <c r="B29" s="40">
        <v>0</v>
      </c>
      <c r="C29" s="53">
        <v>0</v>
      </c>
      <c r="D29" s="40">
        <v>0</v>
      </c>
      <c r="E29" s="53">
        <v>0</v>
      </c>
      <c r="F29" s="40"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</row>
    <row r="30" spans="1:231" ht="15" customHeight="1" x14ac:dyDescent="0.25">
      <c r="A30" s="23" t="s">
        <v>116</v>
      </c>
      <c r="B30" s="41">
        <f>SUM(B23:B29)</f>
        <v>0</v>
      </c>
      <c r="C30" s="54">
        <f>SUM(C23:C29)</f>
        <v>0</v>
      </c>
      <c r="D30" s="41">
        <f>SUM(D23:D29)</f>
        <v>0</v>
      </c>
      <c r="E30" s="54">
        <f>SUM(E23:E29)</f>
        <v>0</v>
      </c>
      <c r="F30" s="41">
        <f>SUM(F23:F29)</f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</row>
    <row r="31" spans="1:231" ht="15" customHeight="1" x14ac:dyDescent="0.25">
      <c r="A31" s="24"/>
      <c r="B31" s="42"/>
      <c r="C31" s="55"/>
      <c r="D31" s="42"/>
      <c r="E31" s="55"/>
      <c r="F31" s="4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</row>
    <row r="32" spans="1:231" ht="15" customHeight="1" x14ac:dyDescent="0.25">
      <c r="A32" s="25" t="s">
        <v>117</v>
      </c>
      <c r="B32" s="43"/>
      <c r="C32" s="15"/>
      <c r="D32" s="43"/>
      <c r="E32" s="15"/>
      <c r="F32" s="4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</row>
    <row r="33" spans="1:231" ht="15" customHeight="1" x14ac:dyDescent="0.25">
      <c r="A33" s="13" t="s">
        <v>118</v>
      </c>
      <c r="B33" s="267">
        <v>16347.59</v>
      </c>
      <c r="C33" s="15">
        <v>16347.59</v>
      </c>
      <c r="D33" s="43">
        <v>16347.59</v>
      </c>
      <c r="E33" s="15">
        <v>0</v>
      </c>
      <c r="F33" s="43"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</row>
    <row r="34" spans="1:231" ht="15" customHeight="1" x14ac:dyDescent="0.25">
      <c r="A34" s="13" t="s">
        <v>119</v>
      </c>
      <c r="B34" s="267">
        <v>37644.15</v>
      </c>
      <c r="C34" s="15">
        <v>37644.15</v>
      </c>
      <c r="D34" s="43">
        <v>37644.15</v>
      </c>
      <c r="E34" s="15">
        <v>0</v>
      </c>
      <c r="F34" s="43">
        <v>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</row>
    <row r="35" spans="1:231" ht="15" customHeight="1" x14ac:dyDescent="0.25">
      <c r="A35" s="13" t="s">
        <v>120</v>
      </c>
      <c r="B35" s="267">
        <v>0</v>
      </c>
      <c r="C35" s="15">
        <v>0</v>
      </c>
      <c r="D35" s="43">
        <v>0</v>
      </c>
      <c r="E35" s="15">
        <v>0</v>
      </c>
      <c r="F35" s="43">
        <v>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</row>
    <row r="36" spans="1:231" ht="15" customHeight="1" x14ac:dyDescent="0.25">
      <c r="A36" s="13" t="s">
        <v>212</v>
      </c>
      <c r="B36" s="267">
        <v>33465.370000000003</v>
      </c>
      <c r="C36" s="15">
        <v>37094.44</v>
      </c>
      <c r="D36" s="43">
        <v>37094.44</v>
      </c>
      <c r="E36" s="15">
        <v>0</v>
      </c>
      <c r="F36" s="43">
        <v>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</row>
    <row r="37" spans="1:231" ht="15" customHeight="1" x14ac:dyDescent="0.25">
      <c r="A37" s="13" t="s">
        <v>122</v>
      </c>
      <c r="B37" s="267">
        <v>9785.0499999999993</v>
      </c>
      <c r="C37" s="15">
        <v>9785.0499999999993</v>
      </c>
      <c r="D37" s="43">
        <v>9785.0499999999993</v>
      </c>
      <c r="E37" s="15">
        <v>0</v>
      </c>
      <c r="F37" s="43"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</row>
    <row r="38" spans="1:231" ht="15" customHeight="1" x14ac:dyDescent="0.25">
      <c r="A38" s="14" t="s">
        <v>169</v>
      </c>
      <c r="B38" s="266">
        <v>185806.82</v>
      </c>
      <c r="C38" s="56">
        <v>185806.82</v>
      </c>
      <c r="D38" s="44">
        <v>195887.57</v>
      </c>
      <c r="E38" s="56">
        <v>0</v>
      </c>
      <c r="F38" s="44"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</row>
    <row r="39" spans="1:231" ht="15" customHeight="1" x14ac:dyDescent="0.25">
      <c r="A39" s="23" t="s">
        <v>124</v>
      </c>
      <c r="B39" s="41">
        <f>SUM(B32:B38)</f>
        <v>283048.98000000004</v>
      </c>
      <c r="C39" s="54">
        <f>SUM(C32:C38)</f>
        <v>286678.05000000005</v>
      </c>
      <c r="D39" s="41">
        <f>SUM(D32:D38)</f>
        <v>296758.80000000005</v>
      </c>
      <c r="E39" s="54">
        <f>SUM(E32:E38)</f>
        <v>0</v>
      </c>
      <c r="F39" s="41">
        <f>SUM(F32:F38)</f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</row>
    <row r="40" spans="1:231" ht="15" customHeight="1" x14ac:dyDescent="0.25">
      <c r="A40" s="26"/>
      <c r="B40" s="45"/>
      <c r="C40" s="57"/>
      <c r="D40" s="45"/>
      <c r="E40" s="57"/>
      <c r="F40" s="45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</row>
    <row r="41" spans="1:231" ht="15" customHeight="1" x14ac:dyDescent="0.25">
      <c r="A41" s="21" t="s">
        <v>125</v>
      </c>
      <c r="B41" s="39">
        <v>0</v>
      </c>
      <c r="C41" s="12">
        <v>0</v>
      </c>
      <c r="D41" s="39">
        <v>0</v>
      </c>
      <c r="E41" s="12">
        <v>0</v>
      </c>
      <c r="F41" s="39"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</row>
    <row r="42" spans="1:231" ht="15" customHeight="1" x14ac:dyDescent="0.25">
      <c r="A42" s="27"/>
      <c r="B42" s="266"/>
      <c r="C42" s="56"/>
      <c r="D42" s="44"/>
      <c r="E42" s="56"/>
      <c r="F42" s="4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</row>
    <row r="43" spans="1:231" ht="15" customHeight="1" x14ac:dyDescent="0.25">
      <c r="A43" s="23" t="s">
        <v>126</v>
      </c>
      <c r="B43" s="41">
        <f>B20+B30+B39+B41</f>
        <v>17350205.489999998</v>
      </c>
      <c r="C43" s="54">
        <f>C20+C30+C39+C41</f>
        <v>17198107.860000003</v>
      </c>
      <c r="D43" s="41">
        <f>D20+D30+D39+D41</f>
        <v>17749073.880000003</v>
      </c>
      <c r="E43" s="54">
        <f>E20+E30+E39+E41</f>
        <v>0</v>
      </c>
      <c r="F43" s="41">
        <f>F20+F30+F39+F41</f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</row>
    <row r="44" spans="1:231" ht="15" customHeight="1" x14ac:dyDescent="0.25">
      <c r="A44" s="28"/>
      <c r="B44" s="268"/>
      <c r="C44" s="58"/>
      <c r="D44" s="46"/>
      <c r="E44" s="58"/>
      <c r="F44" s="46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</row>
    <row r="45" spans="1:231" ht="15" customHeight="1" x14ac:dyDescent="0.25">
      <c r="A45" s="21" t="s">
        <v>127</v>
      </c>
      <c r="B45" s="267"/>
      <c r="C45" s="15"/>
      <c r="D45" s="43"/>
      <c r="E45" s="15"/>
      <c r="F45" s="4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</row>
    <row r="46" spans="1:231" ht="15" customHeight="1" x14ac:dyDescent="0.25">
      <c r="A46" s="29"/>
      <c r="B46" s="267"/>
      <c r="C46" s="15"/>
      <c r="D46" s="43"/>
      <c r="E46" s="15"/>
      <c r="F46" s="4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</row>
    <row r="47" spans="1:231" ht="15" customHeight="1" x14ac:dyDescent="0.25">
      <c r="A47" s="21" t="s">
        <v>128</v>
      </c>
      <c r="B47" s="39"/>
      <c r="C47" s="12"/>
      <c r="D47" s="39"/>
      <c r="E47" s="12"/>
      <c r="F47" s="39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</row>
    <row r="48" spans="1:231" ht="15" customHeight="1" x14ac:dyDescent="0.25">
      <c r="A48" s="13" t="s">
        <v>129</v>
      </c>
      <c r="B48" s="267">
        <v>68867.62</v>
      </c>
      <c r="C48" s="15">
        <v>68867.62</v>
      </c>
      <c r="D48" s="43">
        <v>68867.62</v>
      </c>
      <c r="E48" s="15">
        <v>0</v>
      </c>
      <c r="F48" s="43">
        <v>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</row>
    <row r="49" spans="1:231" ht="15" customHeight="1" x14ac:dyDescent="0.25">
      <c r="A49" s="16" t="s">
        <v>130</v>
      </c>
      <c r="B49" s="267">
        <v>0</v>
      </c>
      <c r="C49" s="15">
        <v>0</v>
      </c>
      <c r="D49" s="43">
        <v>0</v>
      </c>
      <c r="E49" s="15">
        <v>0</v>
      </c>
      <c r="F49" s="43">
        <v>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</row>
    <row r="50" spans="1:231" ht="15" customHeight="1" x14ac:dyDescent="0.25">
      <c r="A50" s="16" t="s">
        <v>131</v>
      </c>
      <c r="B50" s="267">
        <v>0</v>
      </c>
      <c r="C50" s="15">
        <v>0</v>
      </c>
      <c r="D50" s="43">
        <v>0</v>
      </c>
      <c r="E50" s="15">
        <v>0</v>
      </c>
      <c r="F50" s="43">
        <v>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</row>
    <row r="51" spans="1:231" ht="15" customHeight="1" x14ac:dyDescent="0.25">
      <c r="A51" s="16" t="s">
        <v>213</v>
      </c>
      <c r="B51" s="267"/>
      <c r="C51" s="15"/>
      <c r="D51" s="43"/>
      <c r="E51" s="15"/>
      <c r="F51" s="4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</row>
    <row r="52" spans="1:231" ht="15" customHeight="1" x14ac:dyDescent="0.25">
      <c r="A52" s="16" t="s">
        <v>133</v>
      </c>
      <c r="B52" s="267">
        <v>0</v>
      </c>
      <c r="C52" s="15">
        <v>0</v>
      </c>
      <c r="D52" s="43">
        <v>0</v>
      </c>
      <c r="E52" s="15">
        <v>0</v>
      </c>
      <c r="F52" s="43">
        <v>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</row>
    <row r="53" spans="1:231" ht="15" customHeight="1" x14ac:dyDescent="0.25">
      <c r="A53" s="16" t="s">
        <v>134</v>
      </c>
      <c r="B53" s="267">
        <v>7404800.3200000003</v>
      </c>
      <c r="C53" s="15">
        <v>7570405.0199999996</v>
      </c>
      <c r="D53" s="43">
        <v>8468314.4399999995</v>
      </c>
      <c r="E53" s="15">
        <v>0</v>
      </c>
      <c r="F53" s="43">
        <v>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</row>
    <row r="54" spans="1:231" ht="15" customHeight="1" x14ac:dyDescent="0.25">
      <c r="A54" s="13" t="s">
        <v>135</v>
      </c>
      <c r="B54" s="267">
        <v>139360.13</v>
      </c>
      <c r="C54" s="15">
        <v>137208.66</v>
      </c>
      <c r="D54" s="43">
        <v>136164.99</v>
      </c>
      <c r="E54" s="15">
        <v>0</v>
      </c>
      <c r="F54" s="43">
        <v>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</row>
    <row r="55" spans="1:231" ht="15" customHeight="1" x14ac:dyDescent="0.25">
      <c r="A55" s="13" t="s">
        <v>136</v>
      </c>
      <c r="B55" s="267">
        <v>0</v>
      </c>
      <c r="C55" s="15">
        <v>0</v>
      </c>
      <c r="D55" s="43">
        <v>0</v>
      </c>
      <c r="E55" s="15">
        <v>0</v>
      </c>
      <c r="F55" s="43">
        <v>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</row>
    <row r="56" spans="1:231" ht="15" customHeight="1" x14ac:dyDescent="0.25">
      <c r="A56" s="14" t="s">
        <v>137</v>
      </c>
      <c r="B56" s="266">
        <v>0</v>
      </c>
      <c r="C56" s="56">
        <v>0</v>
      </c>
      <c r="D56" s="44">
        <v>0</v>
      </c>
      <c r="E56" s="56">
        <v>0</v>
      </c>
      <c r="F56" s="44">
        <v>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</row>
    <row r="57" spans="1:231" ht="15" customHeight="1" x14ac:dyDescent="0.25">
      <c r="A57" s="23" t="s">
        <v>138</v>
      </c>
      <c r="B57" s="41">
        <f>SUM(B48:B56)</f>
        <v>7613028.0700000003</v>
      </c>
      <c r="C57" s="54">
        <f>SUM(C48:C56)</f>
        <v>7776481.2999999998</v>
      </c>
      <c r="D57" s="41">
        <f>SUM(D48:D56)</f>
        <v>8673347.0499999989</v>
      </c>
      <c r="E57" s="54">
        <f>SUM(E48:E56)</f>
        <v>0</v>
      </c>
      <c r="F57" s="41">
        <f>SUM(F48:F56)</f>
        <v>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</row>
    <row r="58" spans="1:231" ht="15" customHeight="1" x14ac:dyDescent="0.25">
      <c r="A58" s="30"/>
      <c r="B58" s="42"/>
      <c r="C58" s="55"/>
      <c r="D58" s="42"/>
      <c r="E58" s="55"/>
      <c r="F58" s="4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</row>
    <row r="59" spans="1:231" ht="15" customHeight="1" x14ac:dyDescent="0.25">
      <c r="A59" s="21" t="s">
        <v>139</v>
      </c>
      <c r="B59" s="267"/>
      <c r="C59" s="15"/>
      <c r="D59" s="43"/>
      <c r="E59" s="15"/>
      <c r="F59" s="4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</row>
    <row r="60" spans="1:231" ht="15" customHeight="1" x14ac:dyDescent="0.25">
      <c r="A60" s="13" t="s">
        <v>170</v>
      </c>
      <c r="B60" s="267">
        <v>0</v>
      </c>
      <c r="C60" s="15">
        <v>0</v>
      </c>
      <c r="D60" s="43">
        <v>0</v>
      </c>
      <c r="E60" s="15">
        <v>0</v>
      </c>
      <c r="F60" s="43">
        <v>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</row>
    <row r="61" spans="1:231" ht="15" customHeight="1" x14ac:dyDescent="0.25">
      <c r="A61" s="13" t="s">
        <v>44</v>
      </c>
      <c r="B61" s="267">
        <v>0</v>
      </c>
      <c r="C61" s="15">
        <v>0</v>
      </c>
      <c r="D61" s="43">
        <v>0</v>
      </c>
      <c r="E61" s="15"/>
      <c r="F61" s="4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</row>
    <row r="62" spans="1:231" ht="15" customHeight="1" x14ac:dyDescent="0.25">
      <c r="A62" s="31"/>
      <c r="B62" s="266"/>
      <c r="C62" s="56"/>
      <c r="D62" s="44"/>
      <c r="E62" s="56"/>
      <c r="F62" s="4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</row>
    <row r="63" spans="1:231" ht="15" customHeight="1" x14ac:dyDescent="0.25">
      <c r="A63" s="23" t="s">
        <v>142</v>
      </c>
      <c r="B63" s="41">
        <f>SUM(B60:B62)</f>
        <v>0</v>
      </c>
      <c r="C63" s="54">
        <f>SUM(C60:C62)</f>
        <v>0</v>
      </c>
      <c r="D63" s="41">
        <f>SUM(D60:D62)</f>
        <v>0</v>
      </c>
      <c r="E63" s="54">
        <f>SUM(E60:E62)</f>
        <v>0</v>
      </c>
      <c r="F63" s="41">
        <f>SUM(F60:F62)</f>
        <v>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</row>
    <row r="64" spans="1:231" ht="15" customHeight="1" x14ac:dyDescent="0.25">
      <c r="A64" s="30"/>
      <c r="B64" s="42"/>
      <c r="C64" s="55"/>
      <c r="D64" s="42"/>
      <c r="E64" s="55"/>
      <c r="F64" s="4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</row>
    <row r="65" spans="1:231" ht="15" customHeight="1" x14ac:dyDescent="0.25">
      <c r="A65" s="21" t="s">
        <v>143</v>
      </c>
      <c r="B65" s="267"/>
      <c r="C65" s="15"/>
      <c r="D65" s="43"/>
      <c r="E65" s="15"/>
      <c r="F65" s="4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</row>
    <row r="66" spans="1:231" ht="15" customHeight="1" x14ac:dyDescent="0.25">
      <c r="A66" s="13" t="s">
        <v>144</v>
      </c>
      <c r="B66" s="267">
        <v>0</v>
      </c>
      <c r="C66" s="15">
        <v>0</v>
      </c>
      <c r="D66" s="43">
        <v>0</v>
      </c>
      <c r="E66" s="15">
        <v>0</v>
      </c>
      <c r="F66" s="43">
        <v>0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</row>
    <row r="67" spans="1:231" ht="15" customHeight="1" x14ac:dyDescent="0.25">
      <c r="A67" s="13" t="s">
        <v>145</v>
      </c>
      <c r="B67" s="267">
        <v>0</v>
      </c>
      <c r="C67" s="15">
        <v>0</v>
      </c>
      <c r="D67" s="43">
        <v>0</v>
      </c>
      <c r="E67" s="15">
        <v>0</v>
      </c>
      <c r="F67" s="43">
        <v>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</row>
    <row r="68" spans="1:231" ht="15" customHeight="1" x14ac:dyDescent="0.25">
      <c r="A68" s="13" t="s">
        <v>146</v>
      </c>
      <c r="B68" s="267">
        <v>8121241.7400000002</v>
      </c>
      <c r="C68" s="15">
        <v>8121241.7400000002</v>
      </c>
      <c r="D68" s="43">
        <v>8121241.7400000002</v>
      </c>
      <c r="E68" s="15">
        <v>0</v>
      </c>
      <c r="F68" s="43">
        <v>0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</row>
    <row r="69" spans="1:231" ht="15" customHeight="1" x14ac:dyDescent="0.25">
      <c r="A69" s="14" t="s">
        <v>147</v>
      </c>
      <c r="B69" s="266">
        <v>1615935.68</v>
      </c>
      <c r="C69" s="56">
        <v>1300384.81</v>
      </c>
      <c r="D69" s="44">
        <v>954485.09</v>
      </c>
      <c r="E69" s="56">
        <v>0</v>
      </c>
      <c r="F69" s="44">
        <v>0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</row>
    <row r="70" spans="1:231" ht="15" customHeight="1" x14ac:dyDescent="0.25">
      <c r="A70" s="23" t="s">
        <v>148</v>
      </c>
      <c r="B70" s="41">
        <f>SUM(B66:B69)</f>
        <v>9737177.4199999999</v>
      </c>
      <c r="C70" s="54">
        <f>SUM(C66:C69)</f>
        <v>9421626.5500000007</v>
      </c>
      <c r="D70" s="41">
        <f>SUM(D66:D69)</f>
        <v>9075726.8300000001</v>
      </c>
      <c r="E70" s="54">
        <f>SUM(E66:E69)</f>
        <v>0</v>
      </c>
      <c r="F70" s="41">
        <f>SUM(F66:F69)</f>
        <v>0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</row>
    <row r="71" spans="1:231" ht="15.75" customHeight="1" x14ac:dyDescent="0.25">
      <c r="A71" s="32"/>
      <c r="B71" s="265"/>
      <c r="C71" s="59"/>
      <c r="D71" s="47"/>
      <c r="E71" s="59"/>
      <c r="F71" s="47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</row>
    <row r="72" spans="1:231" ht="16.5" customHeight="1" thickBot="1" x14ac:dyDescent="0.3">
      <c r="A72" s="33" t="s">
        <v>149</v>
      </c>
      <c r="B72" s="48">
        <f>B70+B63+B57</f>
        <v>17350205.490000002</v>
      </c>
      <c r="C72" s="60">
        <f>C70+C63+C57</f>
        <v>17198107.850000001</v>
      </c>
      <c r="D72" s="48">
        <f>D70+D63+D57</f>
        <v>17749073.879999999</v>
      </c>
      <c r="E72" s="60">
        <f>E70+E63+E57</f>
        <v>0</v>
      </c>
      <c r="F72" s="48">
        <f>F70+F63+F57</f>
        <v>0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</row>
    <row r="73" spans="1:231" ht="15.75" customHeight="1" x14ac:dyDescent="0.25">
      <c r="B73" s="264"/>
    </row>
  </sheetData>
  <mergeCells count="6">
    <mergeCell ref="A7:F7"/>
    <mergeCell ref="A1:F1"/>
    <mergeCell ref="A3:F3"/>
    <mergeCell ref="A4:F4"/>
    <mergeCell ref="A5:F5"/>
    <mergeCell ref="A6:F6"/>
  </mergeCells>
  <pageMargins left="0.7" right="0.7" top="0.75" bottom="0.75" header="0.3" footer="0.3"/>
  <pageSetup scale="83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84"/>
  <sheetViews>
    <sheetView topLeftCell="W1" zoomScale="60" zoomScaleNormal="60" workbookViewId="0">
      <selection activeCell="AE1" sqref="AE1:AE1048576"/>
    </sheetView>
  </sheetViews>
  <sheetFormatPr defaultColWidth="8.85546875" defaultRowHeight="15" x14ac:dyDescent="0.25"/>
  <cols>
    <col min="1" max="1" width="53.42578125" style="8" customWidth="1"/>
    <col min="2" max="3" width="14.140625" style="8" customWidth="1"/>
    <col min="4" max="4" width="13.140625" style="8" customWidth="1"/>
    <col min="5" max="5" width="11" style="8" customWidth="1"/>
    <col min="6" max="6" width="1" style="8" customWidth="1"/>
    <col min="7" max="7" width="14.42578125" style="8" customWidth="1"/>
    <col min="8" max="8" width="14.28515625" style="8" customWidth="1"/>
    <col min="9" max="9" width="12.140625" style="8" customWidth="1"/>
    <col min="10" max="10" width="7.85546875" style="8" customWidth="1"/>
    <col min="11" max="11" width="1.140625" style="8" customWidth="1"/>
    <col min="12" max="12" width="14" style="8" hidden="1" customWidth="1"/>
    <col min="13" max="13" width="14.140625" style="8" hidden="1" customWidth="1"/>
    <col min="14" max="14" width="12.85546875" style="8" hidden="1" customWidth="1"/>
    <col min="15" max="15" width="6.85546875" style="8" hidden="1" customWidth="1"/>
    <col min="16" max="16" width="1" style="8" hidden="1" customWidth="1"/>
    <col min="17" max="17" width="13.85546875" style="8" hidden="1" customWidth="1"/>
    <col min="18" max="18" width="13.140625" style="8" hidden="1" customWidth="1"/>
    <col min="19" max="19" width="12.85546875" style="8" hidden="1" customWidth="1"/>
    <col min="20" max="20" width="7.7109375" style="8" hidden="1" customWidth="1"/>
    <col min="21" max="21" width="1.28515625" style="8" hidden="1" customWidth="1"/>
    <col min="22" max="22" width="14.28515625" style="8" customWidth="1"/>
    <col min="23" max="23" width="14.140625" style="8" customWidth="1"/>
    <col min="24" max="24" width="13" style="8" customWidth="1"/>
    <col min="25" max="25" width="7.28515625" style="8" customWidth="1"/>
    <col min="26" max="26" width="1" style="8" customWidth="1"/>
    <col min="27" max="27" width="16.28515625" style="8" customWidth="1"/>
    <col min="28" max="28" width="13.7109375" style="8" customWidth="1"/>
    <col min="29" max="29" width="7" style="8" customWidth="1"/>
    <col min="30" max="30" width="6.140625" style="8" customWidth="1"/>
    <col min="31" max="31" width="66.42578125" style="8" hidden="1" customWidth="1"/>
  </cols>
  <sheetData>
    <row r="1" spans="1:31" ht="18.75" x14ac:dyDescent="0.25">
      <c r="A1" s="839" t="s">
        <v>0</v>
      </c>
      <c r="B1" s="840"/>
      <c r="C1" s="840"/>
      <c r="D1" s="840"/>
      <c r="E1" s="840"/>
      <c r="F1" s="840"/>
      <c r="G1" s="840"/>
      <c r="H1" s="840"/>
      <c r="I1" s="112"/>
      <c r="J1" s="112"/>
      <c r="K1" s="1"/>
      <c r="L1" s="1"/>
      <c r="M1" s="1"/>
      <c r="N1" s="1"/>
      <c r="O1" s="1"/>
      <c r="P1" s="62"/>
      <c r="Q1" s="112"/>
      <c r="R1" s="113"/>
      <c r="S1" s="114"/>
      <c r="T1" s="113"/>
      <c r="U1" s="62"/>
      <c r="V1" s="62"/>
      <c r="W1" s="62"/>
      <c r="X1" s="62"/>
      <c r="Y1" s="62"/>
      <c r="Z1" s="62"/>
      <c r="AA1" s="62"/>
      <c r="AB1" s="62"/>
      <c r="AC1" s="62"/>
      <c r="AD1" s="62"/>
      <c r="AE1" s="63"/>
    </row>
    <row r="2" spans="1:31" ht="18.75" x14ac:dyDescent="0.25">
      <c r="A2" s="125"/>
      <c r="B2" s="126"/>
      <c r="C2" s="126"/>
      <c r="D2" s="126"/>
      <c r="E2" s="126"/>
      <c r="F2" s="126"/>
      <c r="G2" s="126"/>
      <c r="H2" s="126"/>
      <c r="I2" s="115"/>
      <c r="J2" s="115"/>
      <c r="K2" s="4"/>
      <c r="L2" s="5"/>
      <c r="M2" s="5"/>
      <c r="N2" s="5"/>
      <c r="O2" s="5"/>
      <c r="P2" s="4"/>
      <c r="Q2" s="115"/>
      <c r="R2" s="116"/>
      <c r="S2" s="117"/>
      <c r="T2" s="116"/>
      <c r="U2" s="4"/>
      <c r="V2" s="65"/>
      <c r="W2" s="65"/>
      <c r="X2" s="65"/>
      <c r="Y2" s="65"/>
      <c r="Z2" s="4"/>
      <c r="AA2" s="65"/>
      <c r="AB2" s="65"/>
      <c r="AC2" s="65"/>
      <c r="AD2" s="4"/>
      <c r="AE2" s="66"/>
    </row>
    <row r="3" spans="1:31" s="100" customFormat="1" ht="18.75" x14ac:dyDescent="0.25">
      <c r="A3" s="837" t="s">
        <v>214</v>
      </c>
      <c r="B3" s="838"/>
      <c r="C3" s="838"/>
      <c r="D3" s="838"/>
      <c r="E3" s="838"/>
      <c r="F3" s="838"/>
      <c r="G3" s="838"/>
      <c r="H3" s="838"/>
      <c r="I3" s="118"/>
      <c r="J3" s="118"/>
      <c r="K3" s="97"/>
      <c r="L3" s="97"/>
      <c r="M3" s="97"/>
      <c r="N3" s="97"/>
      <c r="O3" s="97"/>
      <c r="P3" s="98"/>
      <c r="Q3" s="118"/>
      <c r="R3" s="119"/>
      <c r="S3" s="120"/>
      <c r="T3" s="119"/>
      <c r="U3" s="98"/>
      <c r="V3" s="98"/>
      <c r="W3" s="98"/>
      <c r="X3" s="98"/>
      <c r="Y3" s="98"/>
      <c r="Z3" s="98"/>
      <c r="AA3" s="98"/>
      <c r="AB3" s="98"/>
      <c r="AC3" s="98"/>
      <c r="AD3" s="98"/>
      <c r="AE3" s="99"/>
    </row>
    <row r="4" spans="1:31" ht="18.75" x14ac:dyDescent="0.25">
      <c r="A4" s="843" t="s">
        <v>2</v>
      </c>
      <c r="B4" s="844"/>
      <c r="C4" s="844"/>
      <c r="D4" s="844"/>
      <c r="E4" s="844"/>
      <c r="F4" s="844"/>
      <c r="G4" s="844"/>
      <c r="H4" s="844"/>
      <c r="I4" s="127"/>
      <c r="J4" s="127"/>
      <c r="K4" s="67"/>
      <c r="L4" s="67"/>
      <c r="M4" s="67"/>
      <c r="N4" s="67"/>
      <c r="O4" s="67"/>
      <c r="P4" s="65"/>
      <c r="Q4" s="121"/>
      <c r="R4" s="122"/>
      <c r="S4" s="117"/>
      <c r="T4" s="122"/>
      <c r="U4" s="65"/>
      <c r="V4" s="65"/>
      <c r="W4" s="65"/>
      <c r="X4" s="65"/>
      <c r="Y4" s="65"/>
      <c r="Z4" s="65"/>
      <c r="AA4" s="65"/>
      <c r="AB4" s="68"/>
      <c r="AC4" s="65"/>
      <c r="AD4" s="65"/>
      <c r="AE4" s="66"/>
    </row>
    <row r="5" spans="1:31" ht="18.75" x14ac:dyDescent="0.25">
      <c r="A5" s="843" t="s">
        <v>3</v>
      </c>
      <c r="B5" s="845"/>
      <c r="C5" s="845"/>
      <c r="D5" s="845"/>
      <c r="E5" s="845"/>
      <c r="F5" s="845"/>
      <c r="G5" s="845"/>
      <c r="H5" s="845"/>
      <c r="I5" s="115"/>
      <c r="J5" s="115"/>
      <c r="K5" s="67"/>
      <c r="L5" s="67"/>
      <c r="M5" s="67"/>
      <c r="N5" s="67"/>
      <c r="O5" s="67"/>
      <c r="P5" s="65"/>
      <c r="Q5" s="121"/>
      <c r="R5" s="122"/>
      <c r="S5" s="117"/>
      <c r="T5" s="122"/>
      <c r="U5" s="65"/>
      <c r="V5" s="65"/>
      <c r="W5" s="65"/>
      <c r="X5" s="65"/>
      <c r="Y5" s="65"/>
      <c r="Z5" s="65"/>
      <c r="AA5" s="65"/>
      <c r="AB5" s="68"/>
      <c r="AC5" s="65"/>
      <c r="AD5" s="65"/>
      <c r="AE5" s="66"/>
    </row>
    <row r="6" spans="1:31" s="100" customFormat="1" ht="18.75" x14ac:dyDescent="0.25">
      <c r="A6" s="837" t="s">
        <v>4</v>
      </c>
      <c r="B6" s="846"/>
      <c r="C6" s="846"/>
      <c r="D6" s="846"/>
      <c r="E6" s="846"/>
      <c r="F6" s="846"/>
      <c r="G6" s="846"/>
      <c r="H6" s="846"/>
      <c r="I6" s="118"/>
      <c r="J6" s="118"/>
      <c r="K6" s="101"/>
      <c r="L6" s="101"/>
      <c r="M6" s="101"/>
      <c r="N6" s="101"/>
      <c r="O6" s="101"/>
      <c r="P6" s="98"/>
      <c r="Q6" s="123"/>
      <c r="R6" s="124"/>
      <c r="S6" s="120"/>
      <c r="T6" s="124"/>
      <c r="U6" s="98"/>
      <c r="V6" s="98"/>
      <c r="W6" s="98"/>
      <c r="X6" s="98"/>
      <c r="Y6" s="98"/>
      <c r="Z6" s="98"/>
      <c r="AA6" s="102"/>
      <c r="AB6" s="103"/>
      <c r="AC6" s="98"/>
      <c r="AD6" s="98"/>
      <c r="AE6" s="99"/>
    </row>
    <row r="7" spans="1:31" s="100" customFormat="1" ht="18.75" x14ac:dyDescent="0.25">
      <c r="A7" s="837" t="s">
        <v>5</v>
      </c>
      <c r="B7" s="838"/>
      <c r="C7" s="838"/>
      <c r="D7" s="838"/>
      <c r="E7" s="838"/>
      <c r="F7" s="838"/>
      <c r="G7" s="838"/>
      <c r="H7" s="838"/>
      <c r="I7" s="128"/>
      <c r="J7" s="128"/>
      <c r="K7" s="101"/>
      <c r="L7" s="101"/>
      <c r="M7" s="101"/>
      <c r="N7" s="101"/>
      <c r="O7" s="101"/>
      <c r="P7" s="98"/>
      <c r="Q7" s="123"/>
      <c r="R7" s="124"/>
      <c r="S7" s="120"/>
      <c r="T7" s="124"/>
      <c r="U7" s="98"/>
      <c r="V7" s="98"/>
      <c r="W7" s="98"/>
      <c r="X7" s="98"/>
      <c r="Y7" s="98"/>
      <c r="Z7" s="98"/>
      <c r="AA7" s="743"/>
      <c r="AB7" s="742"/>
      <c r="AC7" s="741"/>
      <c r="AD7" s="741"/>
      <c r="AE7" s="99"/>
    </row>
    <row r="8" spans="1:31" ht="27" thickBot="1" x14ac:dyDescent="0.3">
      <c r="A8" s="69"/>
      <c r="B8" s="168"/>
      <c r="C8" s="65"/>
      <c r="D8" s="65"/>
      <c r="E8" s="65"/>
      <c r="F8" s="70"/>
      <c r="G8" s="65"/>
      <c r="H8" s="65"/>
      <c r="I8" s="65"/>
      <c r="J8" s="65"/>
      <c r="K8" s="70"/>
      <c r="L8" s="65"/>
      <c r="M8" s="65"/>
      <c r="N8" s="65"/>
      <c r="O8" s="65"/>
      <c r="P8" s="70"/>
      <c r="Q8" s="65"/>
      <c r="R8" s="65"/>
      <c r="S8" s="235"/>
      <c r="T8" s="65"/>
      <c r="U8" s="70"/>
      <c r="V8" s="65"/>
      <c r="W8" s="65"/>
      <c r="X8" s="65"/>
      <c r="Y8" s="65"/>
      <c r="Z8" s="70"/>
      <c r="AA8" s="65"/>
      <c r="AB8" s="68"/>
      <c r="AC8" s="65"/>
      <c r="AD8" s="70"/>
      <c r="AE8" s="71"/>
    </row>
    <row r="9" spans="1:31" ht="15.75" x14ac:dyDescent="0.25">
      <c r="A9" s="140"/>
      <c r="B9" s="852" t="s">
        <v>6</v>
      </c>
      <c r="C9" s="853"/>
      <c r="D9" s="853"/>
      <c r="E9" s="854"/>
      <c r="F9" s="200"/>
      <c r="G9" s="852" t="s">
        <v>7</v>
      </c>
      <c r="H9" s="853"/>
      <c r="I9" s="853"/>
      <c r="J9" s="854"/>
      <c r="K9" s="200"/>
      <c r="L9" s="855" t="s">
        <v>8</v>
      </c>
      <c r="M9" s="856"/>
      <c r="N9" s="856"/>
      <c r="O9" s="857"/>
      <c r="P9" s="200"/>
      <c r="Q9" s="852" t="s">
        <v>9</v>
      </c>
      <c r="R9" s="853"/>
      <c r="S9" s="853"/>
      <c r="T9" s="854"/>
      <c r="U9" s="200"/>
      <c r="V9" s="855" t="s">
        <v>10</v>
      </c>
      <c r="W9" s="856"/>
      <c r="X9" s="856"/>
      <c r="Y9" s="857"/>
      <c r="Z9" s="200"/>
      <c r="AA9" s="855" t="s">
        <v>11</v>
      </c>
      <c r="AB9" s="856"/>
      <c r="AC9" s="857"/>
      <c r="AD9" s="158"/>
      <c r="AE9" s="847" t="s">
        <v>12</v>
      </c>
    </row>
    <row r="10" spans="1:31" ht="31.5" x14ac:dyDescent="0.25">
      <c r="A10" s="141" t="s">
        <v>13</v>
      </c>
      <c r="B10" s="169" t="s">
        <v>14</v>
      </c>
      <c r="C10" s="104" t="s">
        <v>15</v>
      </c>
      <c r="D10" s="850" t="s">
        <v>16</v>
      </c>
      <c r="E10" s="851"/>
      <c r="F10" s="201"/>
      <c r="G10" s="169" t="s">
        <v>14</v>
      </c>
      <c r="H10" s="104" t="s">
        <v>15</v>
      </c>
      <c r="I10" s="850" t="s">
        <v>16</v>
      </c>
      <c r="J10" s="851"/>
      <c r="K10" s="201"/>
      <c r="L10" s="169" t="s">
        <v>14</v>
      </c>
      <c r="M10" s="104" t="s">
        <v>15</v>
      </c>
      <c r="N10" s="850" t="s">
        <v>16</v>
      </c>
      <c r="O10" s="851"/>
      <c r="P10" s="201"/>
      <c r="Q10" s="169" t="s">
        <v>14</v>
      </c>
      <c r="R10" s="104" t="s">
        <v>15</v>
      </c>
      <c r="S10" s="850" t="s">
        <v>16</v>
      </c>
      <c r="T10" s="851"/>
      <c r="U10" s="201"/>
      <c r="V10" s="169" t="s">
        <v>14</v>
      </c>
      <c r="W10" s="104" t="s">
        <v>15</v>
      </c>
      <c r="X10" s="850" t="s">
        <v>16</v>
      </c>
      <c r="Y10" s="851"/>
      <c r="Z10" s="201"/>
      <c r="AA10" s="247" t="s">
        <v>17</v>
      </c>
      <c r="AB10" s="850" t="s">
        <v>18</v>
      </c>
      <c r="AC10" s="851"/>
      <c r="AD10" s="159"/>
      <c r="AE10" s="848"/>
    </row>
    <row r="11" spans="1:31" ht="16.5" thickBot="1" x14ac:dyDescent="0.3">
      <c r="A11" s="142"/>
      <c r="B11" s="170" t="s">
        <v>19</v>
      </c>
      <c r="C11" s="105" t="s">
        <v>19</v>
      </c>
      <c r="D11" s="106" t="s">
        <v>19</v>
      </c>
      <c r="E11" s="171" t="s">
        <v>20</v>
      </c>
      <c r="F11" s="202"/>
      <c r="G11" s="209" t="s">
        <v>19</v>
      </c>
      <c r="H11" s="107" t="s">
        <v>19</v>
      </c>
      <c r="I11" s="108" t="s">
        <v>19</v>
      </c>
      <c r="J11" s="210" t="s">
        <v>20</v>
      </c>
      <c r="K11" s="202"/>
      <c r="L11" s="209" t="s">
        <v>19</v>
      </c>
      <c r="M11" s="107" t="s">
        <v>19</v>
      </c>
      <c r="N11" s="108" t="s">
        <v>19</v>
      </c>
      <c r="O11" s="210" t="s">
        <v>20</v>
      </c>
      <c r="P11" s="202"/>
      <c r="Q11" s="209" t="s">
        <v>19</v>
      </c>
      <c r="R11" s="107" t="s">
        <v>19</v>
      </c>
      <c r="S11" s="108" t="s">
        <v>19</v>
      </c>
      <c r="T11" s="210" t="s">
        <v>20</v>
      </c>
      <c r="U11" s="202"/>
      <c r="V11" s="209" t="s">
        <v>19</v>
      </c>
      <c r="W11" s="107" t="s">
        <v>19</v>
      </c>
      <c r="X11" s="108" t="s">
        <v>19</v>
      </c>
      <c r="Y11" s="210" t="s">
        <v>20</v>
      </c>
      <c r="Z11" s="202"/>
      <c r="AA11" s="209" t="s">
        <v>19</v>
      </c>
      <c r="AB11" s="108" t="s">
        <v>19</v>
      </c>
      <c r="AC11" s="210" t="s">
        <v>20</v>
      </c>
      <c r="AD11" s="160"/>
      <c r="AE11" s="849"/>
    </row>
    <row r="12" spans="1:31" ht="15.75" x14ac:dyDescent="0.25">
      <c r="A12" s="143" t="s">
        <v>21</v>
      </c>
      <c r="B12" s="172"/>
      <c r="C12" s="72"/>
      <c r="D12" s="72"/>
      <c r="E12" s="173"/>
      <c r="F12" s="203"/>
      <c r="G12" s="184"/>
      <c r="H12" s="73"/>
      <c r="I12" s="73"/>
      <c r="J12" s="185"/>
      <c r="K12" s="203"/>
      <c r="L12" s="184"/>
      <c r="M12" s="73"/>
      <c r="N12" s="73"/>
      <c r="O12" s="185"/>
      <c r="P12" s="203"/>
      <c r="Q12" s="184"/>
      <c r="R12" s="73"/>
      <c r="S12" s="73"/>
      <c r="T12" s="185"/>
      <c r="U12" s="203"/>
      <c r="V12" s="184"/>
      <c r="W12" s="73"/>
      <c r="X12" s="73"/>
      <c r="Y12" s="185"/>
      <c r="Z12" s="203"/>
      <c r="AA12" s="184"/>
      <c r="AB12" s="73"/>
      <c r="AC12" s="185"/>
      <c r="AD12" s="161"/>
      <c r="AE12" s="74"/>
    </row>
    <row r="13" spans="1:31" ht="15.75" x14ac:dyDescent="0.25">
      <c r="A13" s="144" t="s">
        <v>151</v>
      </c>
      <c r="B13" s="174">
        <v>1325</v>
      </c>
      <c r="C13" s="75">
        <v>108</v>
      </c>
      <c r="D13" s="76">
        <f t="shared" ref="D13:D22" si="0">C13-B13</f>
        <v>-1217</v>
      </c>
      <c r="E13" s="175">
        <f t="shared" ref="E13:E23" si="1">IF(ISERROR(D13/B13),"-",D13/B13)</f>
        <v>-0.91849056603773582</v>
      </c>
      <c r="F13" s="204"/>
      <c r="G13" s="174">
        <v>1325</v>
      </c>
      <c r="H13" s="75">
        <v>242</v>
      </c>
      <c r="I13" s="76">
        <f t="shared" ref="I13:I22" si="2">H13-G13</f>
        <v>-1083</v>
      </c>
      <c r="J13" s="175">
        <f t="shared" ref="J13:J23" si="3">IF(ISERROR(I13/G13),"-",I13/G13)</f>
        <v>-0.81735849056603771</v>
      </c>
      <c r="K13" s="204"/>
      <c r="L13" s="174"/>
      <c r="M13" s="75"/>
      <c r="N13" s="76"/>
      <c r="O13" s="175"/>
      <c r="P13" s="204"/>
      <c r="Q13" s="174"/>
      <c r="R13" s="75"/>
      <c r="S13" s="76"/>
      <c r="T13" s="175"/>
      <c r="U13" s="204"/>
      <c r="V13" s="181">
        <f t="shared" ref="V13:V22" si="4">B13+G13+L13+Q13</f>
        <v>2650</v>
      </c>
      <c r="W13" s="76">
        <f t="shared" ref="W13:W22" si="5">C13+H13+M13+R13</f>
        <v>350</v>
      </c>
      <c r="X13" s="76">
        <f t="shared" ref="X13:X22" si="6">W13-V13</f>
        <v>-2300</v>
      </c>
      <c r="Y13" s="175">
        <f t="shared" ref="Y13:Y23" si="7">IF(ISERROR(X13/V13),"-",X13/V13)</f>
        <v>-0.86792452830188682</v>
      </c>
      <c r="Z13" s="204"/>
      <c r="AA13" s="181">
        <v>5300</v>
      </c>
      <c r="AB13" s="76">
        <f t="shared" ref="AB13:AB22" si="8">AA13-W13</f>
        <v>4950</v>
      </c>
      <c r="AC13" s="175">
        <f>IF(ISERROR(AB13/AA13),"-",AB13/AA13)</f>
        <v>0.93396226415094341</v>
      </c>
      <c r="AD13" s="162"/>
      <c r="AE13" s="77"/>
    </row>
    <row r="14" spans="1:31" ht="15.75" x14ac:dyDescent="0.25">
      <c r="A14" s="145" t="s">
        <v>152</v>
      </c>
      <c r="B14" s="174">
        <v>0</v>
      </c>
      <c r="C14" s="75">
        <v>0</v>
      </c>
      <c r="D14" s="76">
        <f t="shared" si="0"/>
        <v>0</v>
      </c>
      <c r="E14" s="175" t="str">
        <f t="shared" si="1"/>
        <v>-</v>
      </c>
      <c r="F14" s="205"/>
      <c r="G14" s="174">
        <v>0</v>
      </c>
      <c r="H14" s="75">
        <v>0</v>
      </c>
      <c r="I14" s="76">
        <f t="shared" si="2"/>
        <v>0</v>
      </c>
      <c r="J14" s="175" t="str">
        <f t="shared" si="3"/>
        <v>-</v>
      </c>
      <c r="K14" s="205"/>
      <c r="L14" s="174"/>
      <c r="M14" s="75"/>
      <c r="N14" s="76"/>
      <c r="O14" s="175"/>
      <c r="P14" s="205"/>
      <c r="Q14" s="174"/>
      <c r="R14" s="75"/>
      <c r="S14" s="76"/>
      <c r="T14" s="175"/>
      <c r="U14" s="205"/>
      <c r="V14" s="181">
        <f t="shared" si="4"/>
        <v>0</v>
      </c>
      <c r="W14" s="76">
        <f t="shared" si="5"/>
        <v>0</v>
      </c>
      <c r="X14" s="76">
        <f t="shared" si="6"/>
        <v>0</v>
      </c>
      <c r="Y14" s="175" t="str">
        <f t="shared" si="7"/>
        <v>-</v>
      </c>
      <c r="Z14" s="205"/>
      <c r="AA14" s="181">
        <v>0</v>
      </c>
      <c r="AB14" s="76">
        <f t="shared" si="8"/>
        <v>0</v>
      </c>
      <c r="AC14" s="175" t="str">
        <f>IF(ISERROR(AB14/AA14),"-",AB14/AA14)</f>
        <v>-</v>
      </c>
      <c r="AD14" s="163"/>
      <c r="AE14" s="78"/>
    </row>
    <row r="15" spans="1:31" ht="15.75" x14ac:dyDescent="0.25">
      <c r="A15" s="145" t="s">
        <v>24</v>
      </c>
      <c r="B15" s="174">
        <v>0</v>
      </c>
      <c r="C15" s="75">
        <v>74</v>
      </c>
      <c r="D15" s="76">
        <f t="shared" si="0"/>
        <v>74</v>
      </c>
      <c r="E15" s="176" t="str">
        <f t="shared" si="1"/>
        <v>-</v>
      </c>
      <c r="F15" s="204"/>
      <c r="G15" s="174">
        <v>0</v>
      </c>
      <c r="H15" s="75">
        <v>0</v>
      </c>
      <c r="I15" s="76">
        <f t="shared" si="2"/>
        <v>0</v>
      </c>
      <c r="J15" s="176" t="str">
        <f t="shared" si="3"/>
        <v>-</v>
      </c>
      <c r="K15" s="204"/>
      <c r="L15" s="174"/>
      <c r="M15" s="75"/>
      <c r="N15" s="76"/>
      <c r="O15" s="176"/>
      <c r="P15" s="204"/>
      <c r="Q15" s="174"/>
      <c r="R15" s="75"/>
      <c r="S15" s="76"/>
      <c r="T15" s="176"/>
      <c r="U15" s="204"/>
      <c r="V15" s="181">
        <f t="shared" si="4"/>
        <v>0</v>
      </c>
      <c r="W15" s="76">
        <f t="shared" si="5"/>
        <v>74</v>
      </c>
      <c r="X15" s="76">
        <f t="shared" si="6"/>
        <v>74</v>
      </c>
      <c r="Y15" s="176" t="str">
        <f t="shared" si="7"/>
        <v>-</v>
      </c>
      <c r="Z15" s="204"/>
      <c r="AA15" s="181">
        <v>0</v>
      </c>
      <c r="AB15" s="76">
        <f t="shared" si="8"/>
        <v>-74</v>
      </c>
      <c r="AC15" s="176" t="str">
        <f>IF(ISERROR(AB15/AA15),"-",AB15/AA15)</f>
        <v>-</v>
      </c>
      <c r="AD15" s="162"/>
      <c r="AE15" s="77"/>
    </row>
    <row r="16" spans="1:31" ht="15.75" x14ac:dyDescent="0.25">
      <c r="A16" s="145" t="s">
        <v>25</v>
      </c>
      <c r="B16" s="174">
        <v>12009</v>
      </c>
      <c r="C16" s="75">
        <v>0</v>
      </c>
      <c r="D16" s="76">
        <f t="shared" si="0"/>
        <v>-12009</v>
      </c>
      <c r="E16" s="175">
        <f t="shared" si="1"/>
        <v>-1</v>
      </c>
      <c r="F16" s="204"/>
      <c r="G16" s="174">
        <v>0</v>
      </c>
      <c r="H16" s="75">
        <v>12009</v>
      </c>
      <c r="I16" s="76">
        <f t="shared" si="2"/>
        <v>12009</v>
      </c>
      <c r="J16" s="175" t="str">
        <f t="shared" si="3"/>
        <v>-</v>
      </c>
      <c r="K16" s="204"/>
      <c r="L16" s="174"/>
      <c r="M16" s="75"/>
      <c r="N16" s="76"/>
      <c r="O16" s="175"/>
      <c r="P16" s="204"/>
      <c r="Q16" s="174"/>
      <c r="R16" s="75"/>
      <c r="S16" s="76"/>
      <c r="T16" s="175"/>
      <c r="U16" s="204"/>
      <c r="V16" s="181">
        <f t="shared" si="4"/>
        <v>12009</v>
      </c>
      <c r="W16" s="76">
        <f t="shared" si="5"/>
        <v>12009</v>
      </c>
      <c r="X16" s="76">
        <f t="shared" si="6"/>
        <v>0</v>
      </c>
      <c r="Y16" s="175">
        <f t="shared" si="7"/>
        <v>0</v>
      </c>
      <c r="Z16" s="204"/>
      <c r="AA16" s="181">
        <v>24018</v>
      </c>
      <c r="AB16" s="76">
        <f t="shared" si="8"/>
        <v>12009</v>
      </c>
      <c r="AC16" s="175">
        <f>IF(ISERROR(AB16/AA16),"-",AB16/AA16)</f>
        <v>0.5</v>
      </c>
      <c r="AD16" s="162"/>
      <c r="AE16" s="77"/>
    </row>
    <row r="17" spans="1:31" ht="15.75" x14ac:dyDescent="0.25">
      <c r="A17" s="145" t="s">
        <v>26</v>
      </c>
      <c r="B17" s="174">
        <v>10126</v>
      </c>
      <c r="C17" s="75">
        <v>7016</v>
      </c>
      <c r="D17" s="76">
        <f t="shared" si="0"/>
        <v>-3110</v>
      </c>
      <c r="E17" s="175">
        <f t="shared" si="1"/>
        <v>-0.30713015998419907</v>
      </c>
      <c r="F17" s="204"/>
      <c r="G17" s="174">
        <v>0</v>
      </c>
      <c r="H17" s="75">
        <v>0</v>
      </c>
      <c r="I17" s="76">
        <f t="shared" si="2"/>
        <v>0</v>
      </c>
      <c r="J17" s="175" t="str">
        <f t="shared" si="3"/>
        <v>-</v>
      </c>
      <c r="K17" s="204"/>
      <c r="L17" s="174"/>
      <c r="M17" s="75"/>
      <c r="N17" s="76"/>
      <c r="O17" s="175"/>
      <c r="P17" s="204"/>
      <c r="Q17" s="174"/>
      <c r="R17" s="75"/>
      <c r="S17" s="76"/>
      <c r="T17" s="175"/>
      <c r="U17" s="204"/>
      <c r="V17" s="181">
        <f t="shared" si="4"/>
        <v>10126</v>
      </c>
      <c r="W17" s="76">
        <f t="shared" si="5"/>
        <v>7016</v>
      </c>
      <c r="X17" s="76">
        <f t="shared" si="6"/>
        <v>-3110</v>
      </c>
      <c r="Y17" s="175">
        <f t="shared" si="7"/>
        <v>-0.30713015998419907</v>
      </c>
      <c r="Z17" s="204"/>
      <c r="AA17" s="181">
        <v>17939</v>
      </c>
      <c r="AB17" s="76">
        <f t="shared" si="8"/>
        <v>10923</v>
      </c>
      <c r="AC17" s="175">
        <f t="shared" ref="AC17:AC20" si="9">IF(ISERROR(AB17/AA17),"-",AB17/AA17)</f>
        <v>0.60889681699091369</v>
      </c>
      <c r="AD17" s="162"/>
      <c r="AE17" s="78"/>
    </row>
    <row r="18" spans="1:31" ht="15.75" x14ac:dyDescent="0.25">
      <c r="A18" s="145" t="s">
        <v>27</v>
      </c>
      <c r="B18" s="174">
        <v>0</v>
      </c>
      <c r="C18" s="75">
        <v>310</v>
      </c>
      <c r="D18" s="76">
        <f t="shared" si="0"/>
        <v>310</v>
      </c>
      <c r="E18" s="176" t="str">
        <f t="shared" si="1"/>
        <v>-</v>
      </c>
      <c r="F18" s="204"/>
      <c r="G18" s="174">
        <v>0</v>
      </c>
      <c r="H18" s="75">
        <v>0</v>
      </c>
      <c r="I18" s="76">
        <f t="shared" si="2"/>
        <v>0</v>
      </c>
      <c r="J18" s="176" t="str">
        <f t="shared" si="3"/>
        <v>-</v>
      </c>
      <c r="K18" s="204"/>
      <c r="L18" s="174"/>
      <c r="M18" s="75"/>
      <c r="N18" s="76"/>
      <c r="O18" s="176"/>
      <c r="P18" s="204"/>
      <c r="Q18" s="174"/>
      <c r="R18" s="75"/>
      <c r="S18" s="76"/>
      <c r="T18" s="176"/>
      <c r="U18" s="204"/>
      <c r="V18" s="181">
        <f t="shared" si="4"/>
        <v>0</v>
      </c>
      <c r="W18" s="76">
        <f t="shared" si="5"/>
        <v>310</v>
      </c>
      <c r="X18" s="76">
        <f t="shared" si="6"/>
        <v>310</v>
      </c>
      <c r="Y18" s="176" t="str">
        <f t="shared" si="7"/>
        <v>-</v>
      </c>
      <c r="Z18" s="204"/>
      <c r="AA18" s="181">
        <v>0</v>
      </c>
      <c r="AB18" s="76">
        <f t="shared" si="8"/>
        <v>-310</v>
      </c>
      <c r="AC18" s="175" t="str">
        <f t="shared" si="9"/>
        <v>-</v>
      </c>
      <c r="AD18" s="162"/>
      <c r="AE18" s="77"/>
    </row>
    <row r="19" spans="1:31" ht="15.75" x14ac:dyDescent="0.25">
      <c r="A19" s="145" t="s">
        <v>153</v>
      </c>
      <c r="B19" s="174">
        <v>90000</v>
      </c>
      <c r="C19" s="75">
        <v>90000</v>
      </c>
      <c r="D19" s="76">
        <f t="shared" si="0"/>
        <v>0</v>
      </c>
      <c r="E19" s="176">
        <f t="shared" si="1"/>
        <v>0</v>
      </c>
      <c r="F19" s="204"/>
      <c r="G19" s="174">
        <v>90000</v>
      </c>
      <c r="H19" s="75">
        <v>90000</v>
      </c>
      <c r="I19" s="76">
        <f t="shared" si="2"/>
        <v>0</v>
      </c>
      <c r="J19" s="176">
        <f t="shared" si="3"/>
        <v>0</v>
      </c>
      <c r="K19" s="204"/>
      <c r="L19" s="174"/>
      <c r="M19" s="75"/>
      <c r="N19" s="76"/>
      <c r="O19" s="176"/>
      <c r="P19" s="204"/>
      <c r="Q19" s="174"/>
      <c r="R19" s="75"/>
      <c r="S19" s="76"/>
      <c r="T19" s="176"/>
      <c r="U19" s="204"/>
      <c r="V19" s="181">
        <f t="shared" si="4"/>
        <v>180000</v>
      </c>
      <c r="W19" s="76">
        <f t="shared" si="5"/>
        <v>180000</v>
      </c>
      <c r="X19" s="76">
        <f t="shared" si="6"/>
        <v>0</v>
      </c>
      <c r="Y19" s="176">
        <f t="shared" si="7"/>
        <v>0</v>
      </c>
      <c r="Z19" s="204"/>
      <c r="AA19" s="181">
        <v>360000</v>
      </c>
      <c r="AB19" s="76">
        <f t="shared" si="8"/>
        <v>180000</v>
      </c>
      <c r="AC19" s="175">
        <f t="shared" si="9"/>
        <v>0.5</v>
      </c>
      <c r="AD19" s="162"/>
      <c r="AE19" s="77"/>
    </row>
    <row r="20" spans="1:31" ht="15.75" x14ac:dyDescent="0.25">
      <c r="A20" s="144" t="s">
        <v>29</v>
      </c>
      <c r="B20" s="174">
        <v>0</v>
      </c>
      <c r="C20" s="75">
        <v>265</v>
      </c>
      <c r="D20" s="76">
        <f t="shared" si="0"/>
        <v>265</v>
      </c>
      <c r="E20" s="176" t="str">
        <f t="shared" si="1"/>
        <v>-</v>
      </c>
      <c r="F20" s="204"/>
      <c r="G20" s="174">
        <v>0</v>
      </c>
      <c r="H20" s="75">
        <v>0</v>
      </c>
      <c r="I20" s="76">
        <f t="shared" si="2"/>
        <v>0</v>
      </c>
      <c r="J20" s="176" t="str">
        <f t="shared" si="3"/>
        <v>-</v>
      </c>
      <c r="K20" s="204"/>
      <c r="L20" s="174"/>
      <c r="M20" s="75"/>
      <c r="N20" s="76"/>
      <c r="O20" s="176"/>
      <c r="P20" s="204"/>
      <c r="Q20" s="174"/>
      <c r="R20" s="75"/>
      <c r="S20" s="76"/>
      <c r="T20" s="176"/>
      <c r="U20" s="204"/>
      <c r="V20" s="181">
        <f t="shared" si="4"/>
        <v>0</v>
      </c>
      <c r="W20" s="76">
        <f t="shared" si="5"/>
        <v>265</v>
      </c>
      <c r="X20" s="76">
        <f t="shared" si="6"/>
        <v>265</v>
      </c>
      <c r="Y20" s="176" t="str">
        <f t="shared" si="7"/>
        <v>-</v>
      </c>
      <c r="Z20" s="204"/>
      <c r="AA20" s="181">
        <v>0</v>
      </c>
      <c r="AB20" s="76">
        <f t="shared" si="8"/>
        <v>-265</v>
      </c>
      <c r="AC20" s="175" t="str">
        <f t="shared" si="9"/>
        <v>-</v>
      </c>
      <c r="AD20" s="162"/>
      <c r="AE20" s="77"/>
    </row>
    <row r="21" spans="1:31" ht="15.75" x14ac:dyDescent="0.25">
      <c r="A21" s="145" t="s">
        <v>30</v>
      </c>
      <c r="B21" s="174">
        <v>0</v>
      </c>
      <c r="C21" s="75">
        <v>0</v>
      </c>
      <c r="D21" s="76">
        <f t="shared" si="0"/>
        <v>0</v>
      </c>
      <c r="E21" s="176" t="str">
        <f t="shared" si="1"/>
        <v>-</v>
      </c>
      <c r="F21" s="204"/>
      <c r="G21" s="174">
        <v>0</v>
      </c>
      <c r="H21" s="75">
        <v>0</v>
      </c>
      <c r="I21" s="76">
        <f t="shared" si="2"/>
        <v>0</v>
      </c>
      <c r="J21" s="176" t="str">
        <f t="shared" si="3"/>
        <v>-</v>
      </c>
      <c r="K21" s="204"/>
      <c r="L21" s="174"/>
      <c r="M21" s="75"/>
      <c r="N21" s="76"/>
      <c r="O21" s="176"/>
      <c r="P21" s="204"/>
      <c r="Q21" s="174"/>
      <c r="R21" s="75"/>
      <c r="S21" s="76"/>
      <c r="T21" s="176"/>
      <c r="U21" s="204"/>
      <c r="V21" s="181">
        <f t="shared" si="4"/>
        <v>0</v>
      </c>
      <c r="W21" s="76">
        <f t="shared" si="5"/>
        <v>0</v>
      </c>
      <c r="X21" s="76">
        <f t="shared" si="6"/>
        <v>0</v>
      </c>
      <c r="Y21" s="176" t="str">
        <f t="shared" si="7"/>
        <v>-</v>
      </c>
      <c r="Z21" s="204"/>
      <c r="AA21" s="181">
        <v>0</v>
      </c>
      <c r="AB21" s="76">
        <f t="shared" si="8"/>
        <v>0</v>
      </c>
      <c r="AC21" s="176" t="str">
        <f>IF(ISERROR(AB21/AA21),"-",AB21/AA21)</f>
        <v>-</v>
      </c>
      <c r="AD21" s="162"/>
      <c r="AE21" s="77"/>
    </row>
    <row r="22" spans="1:31" s="740" customFormat="1" ht="15.75" x14ac:dyDescent="0.25">
      <c r="A22" s="747" t="s">
        <v>31</v>
      </c>
      <c r="B22" s="174"/>
      <c r="C22" s="75"/>
      <c r="D22" s="76">
        <f t="shared" si="0"/>
        <v>0</v>
      </c>
      <c r="E22" s="176" t="str">
        <f t="shared" si="1"/>
        <v>-</v>
      </c>
      <c r="F22" s="204"/>
      <c r="G22" s="174"/>
      <c r="H22" s="75"/>
      <c r="I22" s="76">
        <f t="shared" si="2"/>
        <v>0</v>
      </c>
      <c r="J22" s="176" t="str">
        <f t="shared" si="3"/>
        <v>-</v>
      </c>
      <c r="K22" s="204"/>
      <c r="L22" s="174"/>
      <c r="M22" s="75"/>
      <c r="N22" s="76"/>
      <c r="O22" s="176"/>
      <c r="P22" s="204"/>
      <c r="Q22" s="174"/>
      <c r="R22" s="75"/>
      <c r="S22" s="76"/>
      <c r="T22" s="176"/>
      <c r="U22" s="204"/>
      <c r="V22" s="181">
        <f t="shared" si="4"/>
        <v>0</v>
      </c>
      <c r="W22" s="76">
        <f t="shared" si="5"/>
        <v>0</v>
      </c>
      <c r="X22" s="76">
        <f t="shared" si="6"/>
        <v>0</v>
      </c>
      <c r="Y22" s="176" t="str">
        <f t="shared" si="7"/>
        <v>-</v>
      </c>
      <c r="Z22" s="204"/>
      <c r="AA22" s="181">
        <v>0</v>
      </c>
      <c r="AB22" s="76">
        <f t="shared" si="8"/>
        <v>0</v>
      </c>
      <c r="AC22" s="176" t="str">
        <f>IF(ISERROR(AB22/AA22),"-",AB22/AA22)</f>
        <v>-</v>
      </c>
      <c r="AD22" s="162"/>
      <c r="AE22" s="77"/>
    </row>
    <row r="23" spans="1:31" ht="15.75" x14ac:dyDescent="0.25">
      <c r="A23" s="146" t="s">
        <v>32</v>
      </c>
      <c r="B23" s="177">
        <f>SUM(B13:B22)</f>
        <v>113460</v>
      </c>
      <c r="C23" s="110">
        <f>SUM(C13:C22)</f>
        <v>97773</v>
      </c>
      <c r="D23" s="110">
        <f>SUM(D13:D22)</f>
        <v>-15687</v>
      </c>
      <c r="E23" s="178">
        <f t="shared" si="1"/>
        <v>-0.13826017979904812</v>
      </c>
      <c r="F23" s="206"/>
      <c r="G23" s="177">
        <f>SUM(G13:G22)</f>
        <v>91325</v>
      </c>
      <c r="H23" s="110">
        <f>SUM(H13:H22)</f>
        <v>102251</v>
      </c>
      <c r="I23" s="110">
        <f>SUM(I13:I22)</f>
        <v>10926</v>
      </c>
      <c r="J23" s="178">
        <f t="shared" si="3"/>
        <v>0.11963865316178483</v>
      </c>
      <c r="K23" s="206"/>
      <c r="L23" s="177"/>
      <c r="M23" s="110"/>
      <c r="N23" s="110"/>
      <c r="O23" s="178"/>
      <c r="P23" s="206"/>
      <c r="Q23" s="177"/>
      <c r="R23" s="110"/>
      <c r="S23" s="110"/>
      <c r="T23" s="236"/>
      <c r="U23" s="206"/>
      <c r="V23" s="177">
        <f>SUM(V13:V22)</f>
        <v>204785</v>
      </c>
      <c r="W23" s="110">
        <f>SUM(W13:W22)</f>
        <v>200024</v>
      </c>
      <c r="X23" s="110">
        <f>SUM(X13:X22)</f>
        <v>-4761</v>
      </c>
      <c r="Y23" s="236">
        <f t="shared" si="7"/>
        <v>-2.324877310349879E-2</v>
      </c>
      <c r="Z23" s="206"/>
      <c r="AA23" s="242">
        <f>SUM(AA13:AA22)</f>
        <v>407257</v>
      </c>
      <c r="AB23" s="109">
        <f>SUM(AB13:AB22)</f>
        <v>207233</v>
      </c>
      <c r="AC23" s="248">
        <f>IF(ISERROR(AB23/AA23),"-",AB23/AA23)</f>
        <v>0.50885067659978833</v>
      </c>
      <c r="AD23" s="164"/>
      <c r="AE23" s="80"/>
    </row>
    <row r="24" spans="1:31" ht="15.75" x14ac:dyDescent="0.25">
      <c r="A24" s="147"/>
      <c r="B24" s="179"/>
      <c r="C24" s="81"/>
      <c r="D24" s="81"/>
      <c r="E24" s="180"/>
      <c r="F24" s="204"/>
      <c r="G24" s="211"/>
      <c r="H24" s="129"/>
      <c r="I24" s="129"/>
      <c r="J24" s="212"/>
      <c r="K24" s="204"/>
      <c r="L24" s="179"/>
      <c r="M24" s="81"/>
      <c r="N24" s="81"/>
      <c r="O24" s="180"/>
      <c r="P24" s="204"/>
      <c r="Q24" s="211"/>
      <c r="R24" s="129"/>
      <c r="S24" s="129"/>
      <c r="T24" s="237"/>
      <c r="U24" s="204"/>
      <c r="V24" s="179"/>
      <c r="W24" s="81"/>
      <c r="X24" s="81"/>
      <c r="Y24" s="180"/>
      <c r="Z24" s="204"/>
      <c r="AA24" s="179"/>
      <c r="AB24" s="81"/>
      <c r="AC24" s="180"/>
      <c r="AD24" s="162"/>
      <c r="AE24" s="77"/>
    </row>
    <row r="25" spans="1:31" ht="15.75" x14ac:dyDescent="0.25">
      <c r="A25" s="148" t="s">
        <v>33</v>
      </c>
      <c r="B25" s="181"/>
      <c r="C25" s="76"/>
      <c r="D25" s="76">
        <f>C25-B25</f>
        <v>0</v>
      </c>
      <c r="E25" s="176" t="str">
        <f>IF(ISERROR(D25/B25),"-",D25/B25)</f>
        <v>-</v>
      </c>
      <c r="F25" s="204"/>
      <c r="G25" s="213">
        <v>0</v>
      </c>
      <c r="H25" s="130">
        <v>0</v>
      </c>
      <c r="I25" s="130">
        <f>H25-G25</f>
        <v>0</v>
      </c>
      <c r="J25" s="214" t="str">
        <f>IF(ISERROR(I25/G25),"-",I25/G25)</f>
        <v>-</v>
      </c>
      <c r="K25" s="204"/>
      <c r="L25" s="181"/>
      <c r="M25" s="76"/>
      <c r="N25" s="76"/>
      <c r="O25" s="176"/>
      <c r="P25" s="204"/>
      <c r="Q25" s="213"/>
      <c r="R25" s="130"/>
      <c r="S25" s="130"/>
      <c r="T25" s="214"/>
      <c r="U25" s="204"/>
      <c r="V25" s="181">
        <f>B25+G25+L25+Q25</f>
        <v>0</v>
      </c>
      <c r="W25" s="76">
        <f>C25+H25+M25+R25</f>
        <v>0</v>
      </c>
      <c r="X25" s="76"/>
      <c r="Y25" s="186"/>
      <c r="Z25" s="204"/>
      <c r="AA25" s="181"/>
      <c r="AB25" s="76"/>
      <c r="AC25" s="186"/>
      <c r="AD25" s="162"/>
      <c r="AE25" s="77"/>
    </row>
    <row r="26" spans="1:31" ht="15.75" x14ac:dyDescent="0.25">
      <c r="A26" s="149"/>
      <c r="B26" s="182"/>
      <c r="C26" s="82"/>
      <c r="D26" s="82"/>
      <c r="E26" s="183"/>
      <c r="F26" s="203"/>
      <c r="G26" s="215"/>
      <c r="H26" s="131"/>
      <c r="I26" s="131"/>
      <c r="J26" s="216"/>
      <c r="K26" s="203"/>
      <c r="L26" s="182"/>
      <c r="M26" s="82"/>
      <c r="N26" s="82"/>
      <c r="O26" s="183"/>
      <c r="P26" s="203"/>
      <c r="Q26" s="215"/>
      <c r="R26" s="131"/>
      <c r="S26" s="131"/>
      <c r="T26" s="227"/>
      <c r="U26" s="203"/>
      <c r="V26" s="182"/>
      <c r="W26" s="82"/>
      <c r="X26" s="82"/>
      <c r="Y26" s="183"/>
      <c r="Z26" s="203"/>
      <c r="AA26" s="182"/>
      <c r="AB26" s="82"/>
      <c r="AC26" s="183"/>
      <c r="AD26" s="161"/>
      <c r="AE26" s="77"/>
    </row>
    <row r="27" spans="1:31" ht="15.75" x14ac:dyDescent="0.25">
      <c r="A27" s="146" t="s">
        <v>34</v>
      </c>
      <c r="B27" s="177">
        <f>B23+B25</f>
        <v>113460</v>
      </c>
      <c r="C27" s="110">
        <f>C23+C25</f>
        <v>97773</v>
      </c>
      <c r="D27" s="110">
        <f>D23+D25</f>
        <v>-15687</v>
      </c>
      <c r="E27" s="178">
        <f>IF(ISERROR(D27/B27),"-",D27/B27)</f>
        <v>-0.13826017979904812</v>
      </c>
      <c r="F27" s="206"/>
      <c r="G27" s="177">
        <f>G23+G25</f>
        <v>91325</v>
      </c>
      <c r="H27" s="110">
        <f>H23+H25</f>
        <v>102251</v>
      </c>
      <c r="I27" s="110">
        <f>I23+I25</f>
        <v>10926</v>
      </c>
      <c r="J27" s="178">
        <f>IF(ISERROR(I27/G27),"-",I27/G27)</f>
        <v>0.11963865316178483</v>
      </c>
      <c r="K27" s="206"/>
      <c r="L27" s="177"/>
      <c r="M27" s="110"/>
      <c r="N27" s="110"/>
      <c r="O27" s="178"/>
      <c r="P27" s="206"/>
      <c r="Q27" s="177"/>
      <c r="R27" s="110"/>
      <c r="S27" s="110"/>
      <c r="T27" s="178"/>
      <c r="U27" s="206"/>
      <c r="V27" s="177">
        <f>V23+V25</f>
        <v>204785</v>
      </c>
      <c r="W27" s="110">
        <f>W23+W25</f>
        <v>200024</v>
      </c>
      <c r="X27" s="110">
        <f>X23+X25</f>
        <v>-4761</v>
      </c>
      <c r="Y27" s="178">
        <f>IF(ISERROR(X27/V27),"-",X27/V27)</f>
        <v>-2.324877310349879E-2</v>
      </c>
      <c r="Z27" s="206"/>
      <c r="AA27" s="242">
        <f>AA23+AA25</f>
        <v>407257</v>
      </c>
      <c r="AB27" s="109">
        <f>AA27-W27</f>
        <v>207233</v>
      </c>
      <c r="AC27" s="248">
        <f>IF(ISERROR(AB27/AA27),"-",AB27/AA27)</f>
        <v>0.50885067659978833</v>
      </c>
      <c r="AD27" s="164"/>
      <c r="AE27" s="80"/>
    </row>
    <row r="28" spans="1:31" ht="15.75" x14ac:dyDescent="0.25">
      <c r="A28" s="150"/>
      <c r="B28" s="184"/>
      <c r="C28" s="73"/>
      <c r="D28" s="73"/>
      <c r="E28" s="185"/>
      <c r="F28" s="203"/>
      <c r="G28" s="217"/>
      <c r="H28" s="132"/>
      <c r="I28" s="132"/>
      <c r="J28" s="218"/>
      <c r="K28" s="203"/>
      <c r="L28" s="184"/>
      <c r="M28" s="73"/>
      <c r="N28" s="73"/>
      <c r="O28" s="185"/>
      <c r="P28" s="203"/>
      <c r="Q28" s="217"/>
      <c r="R28" s="132"/>
      <c r="S28" s="132"/>
      <c r="T28" s="218"/>
      <c r="U28" s="203"/>
      <c r="V28" s="179"/>
      <c r="W28" s="81"/>
      <c r="X28" s="73"/>
      <c r="Y28" s="185"/>
      <c r="Z28" s="203"/>
      <c r="AA28" s="179"/>
      <c r="AB28" s="73"/>
      <c r="AC28" s="185"/>
      <c r="AD28" s="161"/>
      <c r="AE28" s="77"/>
    </row>
    <row r="29" spans="1:31" ht="15.75" x14ac:dyDescent="0.25">
      <c r="A29" s="148" t="s">
        <v>35</v>
      </c>
      <c r="B29" s="181"/>
      <c r="C29" s="76"/>
      <c r="D29" s="76"/>
      <c r="E29" s="186"/>
      <c r="F29" s="204"/>
      <c r="G29" s="213"/>
      <c r="H29" s="130"/>
      <c r="I29" s="130"/>
      <c r="J29" s="219"/>
      <c r="K29" s="204"/>
      <c r="L29" s="181"/>
      <c r="M29" s="76"/>
      <c r="N29" s="76"/>
      <c r="O29" s="186"/>
      <c r="P29" s="204"/>
      <c r="Q29" s="213"/>
      <c r="R29" s="130"/>
      <c r="S29" s="130"/>
      <c r="T29" s="219"/>
      <c r="U29" s="204"/>
      <c r="V29" s="181"/>
      <c r="W29" s="76"/>
      <c r="X29" s="76"/>
      <c r="Y29" s="186"/>
      <c r="Z29" s="204"/>
      <c r="AA29" s="181"/>
      <c r="AB29" s="76"/>
      <c r="AC29" s="186"/>
      <c r="AD29" s="162"/>
      <c r="AE29" s="77"/>
    </row>
    <row r="30" spans="1:31" ht="15.75" x14ac:dyDescent="0.25">
      <c r="A30" s="151"/>
      <c r="B30" s="181"/>
      <c r="C30" s="76"/>
      <c r="D30" s="76"/>
      <c r="E30" s="186"/>
      <c r="F30" s="204"/>
      <c r="G30" s="213"/>
      <c r="H30" s="130"/>
      <c r="I30" s="130"/>
      <c r="J30" s="219"/>
      <c r="K30" s="204"/>
      <c r="L30" s="181"/>
      <c r="M30" s="76"/>
      <c r="N30" s="76"/>
      <c r="O30" s="234"/>
      <c r="P30" s="204"/>
      <c r="Q30" s="213"/>
      <c r="R30" s="130"/>
      <c r="S30" s="130"/>
      <c r="T30" s="219"/>
      <c r="U30" s="204"/>
      <c r="V30" s="181"/>
      <c r="W30" s="76"/>
      <c r="X30" s="76"/>
      <c r="Y30" s="186"/>
      <c r="Z30" s="204"/>
      <c r="AA30" s="181"/>
      <c r="AB30" s="76"/>
      <c r="AC30" s="186"/>
      <c r="AD30" s="162"/>
      <c r="AE30" s="77"/>
    </row>
    <row r="31" spans="1:31" ht="15.75" x14ac:dyDescent="0.25">
      <c r="A31" s="148" t="s">
        <v>36</v>
      </c>
      <c r="B31" s="181"/>
      <c r="C31" s="76"/>
      <c r="D31" s="76"/>
      <c r="E31" s="186"/>
      <c r="F31" s="204"/>
      <c r="G31" s="213"/>
      <c r="H31" s="130"/>
      <c r="I31" s="130"/>
      <c r="J31" s="219"/>
      <c r="K31" s="204"/>
      <c r="L31" s="181"/>
      <c r="M31" s="76"/>
      <c r="N31" s="76"/>
      <c r="O31" s="186"/>
      <c r="P31" s="204"/>
      <c r="Q31" s="213"/>
      <c r="R31" s="130"/>
      <c r="S31" s="130"/>
      <c r="T31" s="219"/>
      <c r="U31" s="204"/>
      <c r="V31" s="181"/>
      <c r="W31" s="76"/>
      <c r="X31" s="76"/>
      <c r="Y31" s="186"/>
      <c r="Z31" s="204"/>
      <c r="AA31" s="181"/>
      <c r="AB31" s="76"/>
      <c r="AC31" s="186"/>
      <c r="AD31" s="162"/>
      <c r="AE31" s="77"/>
    </row>
    <row r="32" spans="1:31" ht="15.75" x14ac:dyDescent="0.25">
      <c r="A32" s="145" t="s">
        <v>37</v>
      </c>
      <c r="B32" s="181">
        <v>44914.75</v>
      </c>
      <c r="C32" s="181">
        <v>44914.75</v>
      </c>
      <c r="D32" s="76">
        <f>B32-C32</f>
        <v>0</v>
      </c>
      <c r="E32" s="175">
        <f>IF(ISERROR(D32/B32),"-",D32/B32)</f>
        <v>0</v>
      </c>
      <c r="F32" s="205"/>
      <c r="G32" s="213">
        <v>44914.75</v>
      </c>
      <c r="H32" s="181">
        <v>44914.75</v>
      </c>
      <c r="I32" s="130">
        <f>G32-H32</f>
        <v>0</v>
      </c>
      <c r="J32" s="220">
        <f>IF(ISERROR(I32/G32),"-",I32/G32)</f>
        <v>0</v>
      </c>
      <c r="K32" s="205"/>
      <c r="L32" s="181"/>
      <c r="M32" s="76"/>
      <c r="N32" s="76"/>
      <c r="O32" s="175"/>
      <c r="P32" s="205"/>
      <c r="Q32" s="213"/>
      <c r="R32" s="130"/>
      <c r="S32" s="130"/>
      <c r="T32" s="220"/>
      <c r="U32" s="205"/>
      <c r="V32" s="181">
        <f t="shared" ref="V32:W36" si="10">B32+G32+L32+Q32</f>
        <v>89829.5</v>
      </c>
      <c r="W32" s="76">
        <f t="shared" si="10"/>
        <v>89829.5</v>
      </c>
      <c r="X32" s="76">
        <f>V32-W32</f>
        <v>0</v>
      </c>
      <c r="Y32" s="175">
        <f>IF(ISERROR(X32/V32),"-",X32/V32)</f>
        <v>0</v>
      </c>
      <c r="Z32" s="205"/>
      <c r="AA32" s="181">
        <v>179659</v>
      </c>
      <c r="AB32" s="76">
        <f>AA32-W32</f>
        <v>89829.5</v>
      </c>
      <c r="AC32" s="175">
        <f>IF(ISERROR(AB32/AA32),"-",AB32/AA32)</f>
        <v>0.5</v>
      </c>
      <c r="AD32" s="163"/>
      <c r="AE32" s="83"/>
    </row>
    <row r="33" spans="1:31" ht="15.75" x14ac:dyDescent="0.25">
      <c r="A33" s="145" t="s">
        <v>38</v>
      </c>
      <c r="B33" s="181">
        <v>3600</v>
      </c>
      <c r="C33" s="76">
        <v>3600</v>
      </c>
      <c r="D33" s="76">
        <f>B33-C33</f>
        <v>0</v>
      </c>
      <c r="E33" s="175">
        <f>IF(ISERROR(D33/B33),"-",D33/B33)</f>
        <v>0</v>
      </c>
      <c r="F33" s="205"/>
      <c r="G33" s="213">
        <v>3600</v>
      </c>
      <c r="H33" s="130">
        <v>3600</v>
      </c>
      <c r="I33" s="130">
        <f>G33-H33</f>
        <v>0</v>
      </c>
      <c r="J33" s="220">
        <f>IF(ISERROR(I33/G33),"-",I33/G33)</f>
        <v>0</v>
      </c>
      <c r="K33" s="205"/>
      <c r="L33" s="181"/>
      <c r="M33" s="76"/>
      <c r="N33" s="76"/>
      <c r="O33" s="175"/>
      <c r="P33" s="205"/>
      <c r="Q33" s="213"/>
      <c r="R33" s="130"/>
      <c r="S33" s="130"/>
      <c r="T33" s="220"/>
      <c r="U33" s="205"/>
      <c r="V33" s="181">
        <f t="shared" si="10"/>
        <v>7200</v>
      </c>
      <c r="W33" s="76">
        <f t="shared" si="10"/>
        <v>7200</v>
      </c>
      <c r="X33" s="76">
        <f>V33-W33</f>
        <v>0</v>
      </c>
      <c r="Y33" s="175">
        <f>IF(ISERROR(X33/V33),"-",X33/V33)</f>
        <v>0</v>
      </c>
      <c r="Z33" s="205"/>
      <c r="AA33" s="181">
        <v>14400</v>
      </c>
      <c r="AB33" s="76">
        <f>AA33-W33</f>
        <v>7200</v>
      </c>
      <c r="AC33" s="175">
        <f>IF(ISERROR(AB33/AA33),"-",AB33/AA33)</f>
        <v>0.5</v>
      </c>
      <c r="AD33" s="163"/>
      <c r="AE33" s="84"/>
    </row>
    <row r="34" spans="1:31" ht="15.75" x14ac:dyDescent="0.25">
      <c r="A34" s="145" t="s">
        <v>39</v>
      </c>
      <c r="B34" s="181">
        <v>0</v>
      </c>
      <c r="C34" s="76">
        <v>0</v>
      </c>
      <c r="D34" s="76">
        <f>B34-C34</f>
        <v>0</v>
      </c>
      <c r="E34" s="176" t="str">
        <f>IF(ISERROR(D34/B34),"-",D34/B34)</f>
        <v>-</v>
      </c>
      <c r="F34" s="207"/>
      <c r="G34" s="213">
        <v>0</v>
      </c>
      <c r="H34" s="130">
        <v>0</v>
      </c>
      <c r="I34" s="130">
        <f>G34-H34</f>
        <v>0</v>
      </c>
      <c r="J34" s="214" t="str">
        <f>IF(ISERROR(I34/G34),"-",I34/G34)</f>
        <v>-</v>
      </c>
      <c r="K34" s="207"/>
      <c r="L34" s="181"/>
      <c r="M34" s="76"/>
      <c r="N34" s="76"/>
      <c r="O34" s="176"/>
      <c r="P34" s="207"/>
      <c r="Q34" s="213"/>
      <c r="R34" s="130"/>
      <c r="S34" s="130"/>
      <c r="T34" s="214"/>
      <c r="U34" s="207"/>
      <c r="V34" s="181">
        <f t="shared" si="10"/>
        <v>0</v>
      </c>
      <c r="W34" s="76">
        <f t="shared" si="10"/>
        <v>0</v>
      </c>
      <c r="X34" s="76">
        <f>V34-W34</f>
        <v>0</v>
      </c>
      <c r="Y34" s="176" t="str">
        <f>IF(ISERROR(X34/V34),"-",X34/V34)</f>
        <v>-</v>
      </c>
      <c r="Z34" s="207"/>
      <c r="AA34" s="181">
        <v>0</v>
      </c>
      <c r="AB34" s="76">
        <f>AA34-W34</f>
        <v>0</v>
      </c>
      <c r="AC34" s="176" t="str">
        <f>IF(ISERROR(AB34/AA34),"-",AB34/AA34)</f>
        <v>-</v>
      </c>
      <c r="AD34" s="165"/>
      <c r="AE34" s="77"/>
    </row>
    <row r="35" spans="1:31" ht="15.75" x14ac:dyDescent="0.25">
      <c r="A35" s="145" t="s">
        <v>40</v>
      </c>
      <c r="B35" s="181">
        <v>5255</v>
      </c>
      <c r="C35" s="76">
        <v>3508</v>
      </c>
      <c r="D35" s="76">
        <f>B35-C35</f>
        <v>1747</v>
      </c>
      <c r="E35" s="175">
        <f>IF(ISERROR(D35/B35),"-",D35/B35)</f>
        <v>0.33244529019980973</v>
      </c>
      <c r="F35" s="205"/>
      <c r="G35" s="213">
        <v>5255</v>
      </c>
      <c r="H35" s="130">
        <v>5262</v>
      </c>
      <c r="I35" s="130">
        <f>G35-H35</f>
        <v>-7</v>
      </c>
      <c r="J35" s="220">
        <f>IF(ISERROR(I35/G35),"-",I35/G35)</f>
        <v>-1.3320647002854425E-3</v>
      </c>
      <c r="K35" s="205"/>
      <c r="L35" s="181"/>
      <c r="M35" s="76"/>
      <c r="N35" s="76"/>
      <c r="O35" s="175"/>
      <c r="P35" s="205"/>
      <c r="Q35" s="213"/>
      <c r="R35" s="130"/>
      <c r="S35" s="130"/>
      <c r="T35" s="220"/>
      <c r="U35" s="205"/>
      <c r="V35" s="181">
        <f t="shared" si="10"/>
        <v>10510</v>
      </c>
      <c r="W35" s="76">
        <f t="shared" si="10"/>
        <v>8770</v>
      </c>
      <c r="X35" s="76">
        <f>V35-W35</f>
        <v>1740</v>
      </c>
      <c r="Y35" s="175">
        <f>IF(ISERROR(X35/V35),"-",X35/V35)</f>
        <v>0.16555661274976213</v>
      </c>
      <c r="Z35" s="205"/>
      <c r="AA35" s="181">
        <v>21020</v>
      </c>
      <c r="AB35" s="76">
        <f>AA35-W35</f>
        <v>12250</v>
      </c>
      <c r="AC35" s="175">
        <f>IF(ISERROR(AB35/AA35),"-",AB35/AA35)</f>
        <v>0.58277830637488104</v>
      </c>
      <c r="AD35" s="163"/>
      <c r="AE35" s="83"/>
    </row>
    <row r="36" spans="1:31" ht="15.75" x14ac:dyDescent="0.25">
      <c r="A36" s="145" t="s">
        <v>41</v>
      </c>
      <c r="B36" s="181">
        <v>250</v>
      </c>
      <c r="C36" s="76">
        <v>0</v>
      </c>
      <c r="D36" s="76">
        <f>B36-C36</f>
        <v>250</v>
      </c>
      <c r="E36" s="175">
        <f>IF(ISERROR(D36/B36),"-",D36/B36)</f>
        <v>1</v>
      </c>
      <c r="F36" s="205"/>
      <c r="G36" s="213">
        <v>250</v>
      </c>
      <c r="H36" s="130">
        <v>0</v>
      </c>
      <c r="I36" s="130">
        <f>G36-H36</f>
        <v>250</v>
      </c>
      <c r="J36" s="220">
        <f>IF(ISERROR(I36/G36),"-",I36/G36)</f>
        <v>1</v>
      </c>
      <c r="K36" s="205"/>
      <c r="L36" s="181"/>
      <c r="M36" s="76"/>
      <c r="N36" s="76"/>
      <c r="O36" s="175"/>
      <c r="P36" s="205"/>
      <c r="Q36" s="213"/>
      <c r="R36" s="130"/>
      <c r="S36" s="130"/>
      <c r="T36" s="220"/>
      <c r="U36" s="205"/>
      <c r="V36" s="181">
        <f t="shared" si="10"/>
        <v>500</v>
      </c>
      <c r="W36" s="76">
        <f t="shared" si="10"/>
        <v>0</v>
      </c>
      <c r="X36" s="76">
        <f>V36-W36</f>
        <v>500</v>
      </c>
      <c r="Y36" s="175">
        <f>IF(ISERROR(X36/V36),"-",X36/V36)</f>
        <v>1</v>
      </c>
      <c r="Z36" s="205"/>
      <c r="AA36" s="181">
        <v>1000</v>
      </c>
      <c r="AB36" s="76">
        <f>AA36-W36</f>
        <v>1000</v>
      </c>
      <c r="AC36" s="175">
        <f>IF(ISERROR(AB36/AA36),"-",AB36/AA36)</f>
        <v>1</v>
      </c>
      <c r="AD36" s="163"/>
      <c r="AE36" s="85"/>
    </row>
    <row r="37" spans="1:31" ht="15.75" x14ac:dyDescent="0.25">
      <c r="A37" s="145" t="s">
        <v>42</v>
      </c>
      <c r="B37" s="181"/>
      <c r="C37" s="250"/>
      <c r="D37" s="76"/>
      <c r="E37" s="175"/>
      <c r="F37" s="205"/>
      <c r="G37" s="213"/>
      <c r="H37" s="250"/>
      <c r="I37" s="130"/>
      <c r="J37" s="220"/>
      <c r="K37" s="205"/>
      <c r="L37" s="181"/>
      <c r="M37" s="76"/>
      <c r="N37" s="76"/>
      <c r="O37" s="175"/>
      <c r="P37" s="205"/>
      <c r="Q37" s="213"/>
      <c r="R37" s="130"/>
      <c r="S37" s="130"/>
      <c r="T37" s="220"/>
      <c r="U37" s="205"/>
      <c r="V37" s="181"/>
      <c r="W37" s="76"/>
      <c r="X37" s="76"/>
      <c r="Y37" s="175"/>
      <c r="Z37" s="205"/>
      <c r="AA37" s="181"/>
      <c r="AB37" s="76"/>
      <c r="AC37" s="175"/>
      <c r="AD37" s="163"/>
      <c r="AE37" s="83"/>
    </row>
    <row r="38" spans="1:31" ht="15.75" x14ac:dyDescent="0.25">
      <c r="A38" s="145" t="s">
        <v>156</v>
      </c>
      <c r="B38" s="181">
        <v>0</v>
      </c>
      <c r="C38" s="76">
        <v>0</v>
      </c>
      <c r="D38" s="76">
        <f>B38-C38</f>
        <v>0</v>
      </c>
      <c r="E38" s="176" t="str">
        <f>IF(ISERROR(D38/B38),"-",D38/B38)</f>
        <v>-</v>
      </c>
      <c r="F38" s="207"/>
      <c r="G38" s="213">
        <v>0</v>
      </c>
      <c r="H38" s="130">
        <v>0</v>
      </c>
      <c r="I38" s="130">
        <f>G38-H38</f>
        <v>0</v>
      </c>
      <c r="J38" s="214" t="str">
        <f>IF(ISERROR(I38/G38),"-",I38/G38)</f>
        <v>-</v>
      </c>
      <c r="K38" s="207"/>
      <c r="L38" s="181"/>
      <c r="M38" s="76"/>
      <c r="N38" s="76"/>
      <c r="O38" s="176"/>
      <c r="P38" s="207"/>
      <c r="Q38" s="213"/>
      <c r="R38" s="130"/>
      <c r="S38" s="130"/>
      <c r="T38" s="214"/>
      <c r="U38" s="207"/>
      <c r="V38" s="181">
        <f>B38+G38+L38+Q38</f>
        <v>0</v>
      </c>
      <c r="W38" s="76">
        <f>C38+H38+M38+R38</f>
        <v>0</v>
      </c>
      <c r="X38" s="76">
        <f>V38-W38</f>
        <v>0</v>
      </c>
      <c r="Y38" s="176" t="str">
        <f>IF(ISERROR(X38/V38),"-",X38/V38)</f>
        <v>-</v>
      </c>
      <c r="Z38" s="207"/>
      <c r="AA38" s="181">
        <v>0</v>
      </c>
      <c r="AB38" s="76">
        <f>AA38-W38</f>
        <v>0</v>
      </c>
      <c r="AC38" s="176" t="str">
        <f>IF(ISERROR(AB38/AA38),"-",AB38/AA38)</f>
        <v>-</v>
      </c>
      <c r="AD38" s="165"/>
      <c r="AE38" s="77"/>
    </row>
    <row r="39" spans="1:31" ht="15.75" x14ac:dyDescent="0.25">
      <c r="A39" s="152" t="s">
        <v>44</v>
      </c>
      <c r="B39" s="187">
        <v>0</v>
      </c>
      <c r="C39" s="79">
        <v>0</v>
      </c>
      <c r="D39" s="79">
        <f>B39-C39</f>
        <v>0</v>
      </c>
      <c r="E39" s="188" t="str">
        <f>IF(ISERROR(D39/B39),"-",D39/B39)</f>
        <v>-</v>
      </c>
      <c r="F39" s="204"/>
      <c r="G39" s="221">
        <v>0</v>
      </c>
      <c r="H39" s="133">
        <v>0</v>
      </c>
      <c r="I39" s="133">
        <f>G39-H39</f>
        <v>0</v>
      </c>
      <c r="J39" s="222" t="str">
        <f>IF(ISERROR(I39/G39),"-",I39/G39)</f>
        <v>-</v>
      </c>
      <c r="K39" s="204"/>
      <c r="L39" s="187"/>
      <c r="M39" s="79"/>
      <c r="N39" s="79"/>
      <c r="O39" s="188"/>
      <c r="P39" s="204"/>
      <c r="Q39" s="221"/>
      <c r="R39" s="133"/>
      <c r="S39" s="133"/>
      <c r="T39" s="222"/>
      <c r="U39" s="204"/>
      <c r="V39" s="187">
        <f>B39+G39+L39+Q39</f>
        <v>0</v>
      </c>
      <c r="W39" s="79">
        <f>C39+H39+M39+R39</f>
        <v>0</v>
      </c>
      <c r="X39" s="79">
        <f>V39-W39</f>
        <v>0</v>
      </c>
      <c r="Y39" s="188" t="str">
        <f>IF(ISERROR(X39/V39),"-",X39/V39)</f>
        <v>-</v>
      </c>
      <c r="Z39" s="204"/>
      <c r="AA39" s="187">
        <v>1000</v>
      </c>
      <c r="AB39" s="79">
        <f>AA39-W39</f>
        <v>1000</v>
      </c>
      <c r="AC39" s="188">
        <f>IF(ISERROR(AB39/AA39),"-",AB39/AA39)</f>
        <v>1</v>
      </c>
      <c r="AD39" s="162"/>
      <c r="AE39" s="84"/>
    </row>
    <row r="40" spans="1:31" ht="15.75" x14ac:dyDescent="0.25">
      <c r="A40" s="146" t="s">
        <v>45</v>
      </c>
      <c r="B40" s="177">
        <f>SUM(B32:B39)</f>
        <v>54019.75</v>
      </c>
      <c r="C40" s="110">
        <f>SUM(C32:C39)</f>
        <v>52022.75</v>
      </c>
      <c r="D40" s="110">
        <f>SUM(D32:D39)</f>
        <v>1997</v>
      </c>
      <c r="E40" s="178">
        <f>IF(ISERROR(D40/B40),"-",D40/B40)</f>
        <v>3.6967960792117699E-2</v>
      </c>
      <c r="F40" s="205"/>
      <c r="G40" s="177">
        <f>SUM(G32:G39)</f>
        <v>54019.75</v>
      </c>
      <c r="H40" s="110">
        <f>SUM(H32:H39)</f>
        <v>53776.75</v>
      </c>
      <c r="I40" s="110">
        <f>SUM(I32:I39)</f>
        <v>243</v>
      </c>
      <c r="J40" s="178">
        <f>IF(ISERROR(I40/G40),"-",I40/G40)</f>
        <v>4.4983547683948924E-3</v>
      </c>
      <c r="K40" s="205"/>
      <c r="L40" s="177"/>
      <c r="M40" s="110"/>
      <c r="N40" s="110"/>
      <c r="O40" s="178"/>
      <c r="P40" s="205"/>
      <c r="Q40" s="177"/>
      <c r="R40" s="110"/>
      <c r="S40" s="110"/>
      <c r="T40" s="178"/>
      <c r="U40" s="205"/>
      <c r="V40" s="177">
        <f>SUM(V32:V39)</f>
        <v>108039.5</v>
      </c>
      <c r="W40" s="110">
        <f>SUM(W32:W39)</f>
        <v>105799.5</v>
      </c>
      <c r="X40" s="110">
        <f>SUM(X32:X39)</f>
        <v>2240</v>
      </c>
      <c r="Y40" s="178">
        <f>IF(ISERROR(X40/V40),"-",X40/V40)</f>
        <v>2.0733157780256296E-2</v>
      </c>
      <c r="Z40" s="205"/>
      <c r="AA40" s="242">
        <f>SUM(AA32:AA39)</f>
        <v>217079</v>
      </c>
      <c r="AB40" s="109">
        <f>SUM(AB32:AB39)</f>
        <v>111279.5</v>
      </c>
      <c r="AC40" s="243">
        <f>IF(ISERROR(AB40/AA40),"-",AB40/AA40)</f>
        <v>0.51262213295620485</v>
      </c>
      <c r="AD40" s="163"/>
      <c r="AE40" s="86"/>
    </row>
    <row r="41" spans="1:31" x14ac:dyDescent="0.25">
      <c r="A41" s="150"/>
      <c r="B41" s="179"/>
      <c r="C41" s="81"/>
      <c r="D41" s="81"/>
      <c r="E41" s="180"/>
      <c r="F41" s="204"/>
      <c r="G41" s="211"/>
      <c r="H41" s="129"/>
      <c r="I41" s="129"/>
      <c r="J41" s="223"/>
      <c r="K41" s="204"/>
      <c r="L41" s="179"/>
      <c r="M41" s="81"/>
      <c r="N41" s="81"/>
      <c r="O41" s="180"/>
      <c r="P41" s="204"/>
      <c r="Q41" s="211"/>
      <c r="R41" s="129"/>
      <c r="S41" s="129"/>
      <c r="T41" s="223"/>
      <c r="U41" s="204"/>
      <c r="V41" s="179"/>
      <c r="W41" s="81"/>
      <c r="X41" s="81"/>
      <c r="Y41" s="239"/>
      <c r="Z41" s="204"/>
      <c r="AA41" s="179"/>
      <c r="AB41" s="81"/>
      <c r="AC41" s="239"/>
      <c r="AD41" s="162"/>
      <c r="AE41" s="77"/>
    </row>
    <row r="42" spans="1:31" ht="15.75" x14ac:dyDescent="0.25">
      <c r="A42" s="148" t="s">
        <v>46</v>
      </c>
      <c r="B42" s="189"/>
      <c r="C42" s="87"/>
      <c r="D42" s="87"/>
      <c r="E42" s="190"/>
      <c r="F42" s="203"/>
      <c r="G42" s="224"/>
      <c r="H42" s="134"/>
      <c r="I42" s="134"/>
      <c r="J42" s="225"/>
      <c r="K42" s="203"/>
      <c r="L42" s="189"/>
      <c r="M42" s="87"/>
      <c r="N42" s="87"/>
      <c r="O42" s="190"/>
      <c r="P42" s="203"/>
      <c r="Q42" s="224"/>
      <c r="R42" s="134"/>
      <c r="S42" s="134"/>
      <c r="T42" s="225"/>
      <c r="U42" s="203"/>
      <c r="V42" s="189"/>
      <c r="W42" s="87"/>
      <c r="X42" s="76"/>
      <c r="Y42" s="240"/>
      <c r="Z42" s="203"/>
      <c r="AA42" s="189"/>
      <c r="AB42" s="76"/>
      <c r="AC42" s="240"/>
      <c r="AD42" s="161"/>
      <c r="AE42" s="77"/>
    </row>
    <row r="43" spans="1:31" ht="15.75" x14ac:dyDescent="0.25">
      <c r="A43" s="145" t="s">
        <v>47</v>
      </c>
      <c r="B43" s="181">
        <v>750</v>
      </c>
      <c r="C43" s="76">
        <v>0</v>
      </c>
      <c r="D43" s="76">
        <f t="shared" ref="D43:D62" si="11">B43-C43</f>
        <v>750</v>
      </c>
      <c r="E43" s="175">
        <f t="shared" ref="E43:E62" si="12">IF(ISERROR(D43/B43),"-",D43/B43)</f>
        <v>1</v>
      </c>
      <c r="F43" s="205"/>
      <c r="G43" s="213">
        <v>750</v>
      </c>
      <c r="H43" s="130">
        <v>0</v>
      </c>
      <c r="I43" s="130">
        <f t="shared" ref="I43:I62" si="13">G43-H43</f>
        <v>750</v>
      </c>
      <c r="J43" s="220">
        <f t="shared" ref="J43:J62" si="14">IF(ISERROR(I43/G43),"-",I43/G43)</f>
        <v>1</v>
      </c>
      <c r="K43" s="205"/>
      <c r="L43" s="181"/>
      <c r="M43" s="76"/>
      <c r="N43" s="76"/>
      <c r="O43" s="175"/>
      <c r="P43" s="205"/>
      <c r="Q43" s="213"/>
      <c r="R43" s="130"/>
      <c r="S43" s="130"/>
      <c r="T43" s="220"/>
      <c r="U43" s="205"/>
      <c r="V43" s="181">
        <f t="shared" ref="V43:V62" si="15">B43+G43+L43+Q43</f>
        <v>1500</v>
      </c>
      <c r="W43" s="76">
        <f t="shared" ref="W43:W62" si="16">C43+H43+M43+R43</f>
        <v>0</v>
      </c>
      <c r="X43" s="76">
        <f t="shared" ref="X43:X62" si="17">V43-W43</f>
        <v>1500</v>
      </c>
      <c r="Y43" s="175">
        <f t="shared" ref="Y43:Y62" si="18">IF(ISERROR(X43/V43),"-",X43/V43)</f>
        <v>1</v>
      </c>
      <c r="Z43" s="205"/>
      <c r="AA43" s="181">
        <v>3000</v>
      </c>
      <c r="AB43" s="76">
        <f t="shared" ref="AB43:AB51" si="19">AA43-W43</f>
        <v>3000</v>
      </c>
      <c r="AC43" s="175">
        <f t="shared" ref="AC43:AC62" si="20">IF(ISERROR(AB43/AA43),"-",AB43/AA43)</f>
        <v>1</v>
      </c>
      <c r="AD43" s="163"/>
      <c r="AE43" s="88"/>
    </row>
    <row r="44" spans="1:31" ht="15.75" x14ac:dyDescent="0.25">
      <c r="A44" s="145" t="s">
        <v>48</v>
      </c>
      <c r="B44" s="181">
        <v>0</v>
      </c>
      <c r="C44" s="76">
        <v>0</v>
      </c>
      <c r="D44" s="76">
        <f t="shared" si="11"/>
        <v>0</v>
      </c>
      <c r="E44" s="175" t="str">
        <f t="shared" si="12"/>
        <v>-</v>
      </c>
      <c r="F44" s="207"/>
      <c r="G44" s="213">
        <v>0</v>
      </c>
      <c r="H44" s="130">
        <v>0</v>
      </c>
      <c r="I44" s="130">
        <f t="shared" si="13"/>
        <v>0</v>
      </c>
      <c r="J44" s="220" t="str">
        <f t="shared" si="14"/>
        <v>-</v>
      </c>
      <c r="K44" s="207"/>
      <c r="L44" s="181"/>
      <c r="M44" s="76"/>
      <c r="N44" s="76"/>
      <c r="O44" s="175"/>
      <c r="P44" s="207"/>
      <c r="Q44" s="213"/>
      <c r="R44" s="130"/>
      <c r="S44" s="130"/>
      <c r="T44" s="220"/>
      <c r="U44" s="207"/>
      <c r="V44" s="181">
        <f t="shared" si="15"/>
        <v>0</v>
      </c>
      <c r="W44" s="76">
        <f t="shared" si="16"/>
        <v>0</v>
      </c>
      <c r="X44" s="76">
        <f t="shared" si="17"/>
        <v>0</v>
      </c>
      <c r="Y44" s="175" t="str">
        <f t="shared" si="18"/>
        <v>-</v>
      </c>
      <c r="Z44" s="207"/>
      <c r="AA44" s="181">
        <v>20000</v>
      </c>
      <c r="AB44" s="76">
        <f t="shared" si="19"/>
        <v>20000</v>
      </c>
      <c r="AC44" s="175">
        <f t="shared" si="20"/>
        <v>1</v>
      </c>
      <c r="AD44" s="165"/>
      <c r="AE44" s="77"/>
    </row>
    <row r="45" spans="1:31" ht="15.75" x14ac:dyDescent="0.25">
      <c r="A45" s="145" t="s">
        <v>49</v>
      </c>
      <c r="B45" s="181">
        <v>0</v>
      </c>
      <c r="C45" s="76">
        <v>0</v>
      </c>
      <c r="D45" s="76">
        <f t="shared" si="11"/>
        <v>0</v>
      </c>
      <c r="E45" s="176" t="str">
        <f t="shared" si="12"/>
        <v>-</v>
      </c>
      <c r="F45" s="207"/>
      <c r="G45" s="213">
        <v>0</v>
      </c>
      <c r="H45" s="130">
        <v>0</v>
      </c>
      <c r="I45" s="130">
        <f t="shared" si="13"/>
        <v>0</v>
      </c>
      <c r="J45" s="214" t="str">
        <f t="shared" si="14"/>
        <v>-</v>
      </c>
      <c r="K45" s="207"/>
      <c r="L45" s="181"/>
      <c r="M45" s="76"/>
      <c r="N45" s="76"/>
      <c r="O45" s="176"/>
      <c r="P45" s="207"/>
      <c r="Q45" s="213"/>
      <c r="R45" s="130"/>
      <c r="S45" s="130"/>
      <c r="T45" s="214"/>
      <c r="U45" s="207"/>
      <c r="V45" s="181">
        <f t="shared" si="15"/>
        <v>0</v>
      </c>
      <c r="W45" s="76">
        <f t="shared" si="16"/>
        <v>0</v>
      </c>
      <c r="X45" s="76">
        <f t="shared" si="17"/>
        <v>0</v>
      </c>
      <c r="Y45" s="176" t="str">
        <f t="shared" si="18"/>
        <v>-</v>
      </c>
      <c r="Z45" s="207"/>
      <c r="AA45" s="181">
        <v>0</v>
      </c>
      <c r="AB45" s="76">
        <f t="shared" si="19"/>
        <v>0</v>
      </c>
      <c r="AC45" s="176" t="str">
        <f t="shared" si="20"/>
        <v>-</v>
      </c>
      <c r="AD45" s="165"/>
      <c r="AE45" s="77"/>
    </row>
    <row r="46" spans="1:31" ht="15.75" x14ac:dyDescent="0.25">
      <c r="A46" s="145" t="s">
        <v>50</v>
      </c>
      <c r="B46" s="181">
        <v>100</v>
      </c>
      <c r="C46" s="76">
        <v>0</v>
      </c>
      <c r="D46" s="76">
        <f t="shared" si="11"/>
        <v>100</v>
      </c>
      <c r="E46" s="175">
        <f t="shared" si="12"/>
        <v>1</v>
      </c>
      <c r="F46" s="207"/>
      <c r="G46" s="213">
        <v>100</v>
      </c>
      <c r="H46" s="130">
        <v>0</v>
      </c>
      <c r="I46" s="130">
        <f t="shared" si="13"/>
        <v>100</v>
      </c>
      <c r="J46" s="220">
        <f t="shared" si="14"/>
        <v>1</v>
      </c>
      <c r="K46" s="207"/>
      <c r="L46" s="181"/>
      <c r="M46" s="76"/>
      <c r="N46" s="76"/>
      <c r="O46" s="175"/>
      <c r="P46" s="207"/>
      <c r="Q46" s="213"/>
      <c r="R46" s="130"/>
      <c r="S46" s="130"/>
      <c r="T46" s="220"/>
      <c r="U46" s="207"/>
      <c r="V46" s="181">
        <f t="shared" si="15"/>
        <v>200</v>
      </c>
      <c r="W46" s="76">
        <f t="shared" si="16"/>
        <v>0</v>
      </c>
      <c r="X46" s="76">
        <f t="shared" si="17"/>
        <v>200</v>
      </c>
      <c r="Y46" s="175">
        <f t="shared" si="18"/>
        <v>1</v>
      </c>
      <c r="Z46" s="207"/>
      <c r="AA46" s="181">
        <v>400</v>
      </c>
      <c r="AB46" s="76">
        <f t="shared" si="19"/>
        <v>400</v>
      </c>
      <c r="AC46" s="175">
        <f t="shared" si="20"/>
        <v>1</v>
      </c>
      <c r="AD46" s="165"/>
      <c r="AE46" s="88"/>
    </row>
    <row r="47" spans="1:31" ht="15.75" x14ac:dyDescent="0.25">
      <c r="A47" s="145" t="s">
        <v>51</v>
      </c>
      <c r="B47" s="181">
        <v>0</v>
      </c>
      <c r="C47" s="76">
        <v>0</v>
      </c>
      <c r="D47" s="76">
        <f t="shared" si="11"/>
        <v>0</v>
      </c>
      <c r="E47" s="176" t="str">
        <f t="shared" si="12"/>
        <v>-</v>
      </c>
      <c r="F47" s="207"/>
      <c r="G47" s="213">
        <v>0</v>
      </c>
      <c r="H47" s="130">
        <v>0</v>
      </c>
      <c r="I47" s="130">
        <f t="shared" si="13"/>
        <v>0</v>
      </c>
      <c r="J47" s="214" t="str">
        <f t="shared" si="14"/>
        <v>-</v>
      </c>
      <c r="K47" s="207"/>
      <c r="L47" s="181"/>
      <c r="M47" s="76"/>
      <c r="N47" s="76"/>
      <c r="O47" s="176"/>
      <c r="P47" s="207"/>
      <c r="Q47" s="213"/>
      <c r="R47" s="130"/>
      <c r="S47" s="130"/>
      <c r="T47" s="214"/>
      <c r="U47" s="207"/>
      <c r="V47" s="181">
        <f t="shared" si="15"/>
        <v>0</v>
      </c>
      <c r="W47" s="76">
        <f t="shared" si="16"/>
        <v>0</v>
      </c>
      <c r="X47" s="76">
        <f t="shared" si="17"/>
        <v>0</v>
      </c>
      <c r="Y47" s="176" t="str">
        <f t="shared" si="18"/>
        <v>-</v>
      </c>
      <c r="Z47" s="207"/>
      <c r="AA47" s="181">
        <v>0</v>
      </c>
      <c r="AB47" s="76">
        <f t="shared" si="19"/>
        <v>0</v>
      </c>
      <c r="AC47" s="176" t="str">
        <f t="shared" si="20"/>
        <v>-</v>
      </c>
      <c r="AD47" s="165"/>
      <c r="AE47" s="77"/>
    </row>
    <row r="48" spans="1:31" ht="15.75" x14ac:dyDescent="0.25">
      <c r="A48" s="145" t="s">
        <v>52</v>
      </c>
      <c r="B48" s="181">
        <v>3000</v>
      </c>
      <c r="C48" s="76">
        <v>2647</v>
      </c>
      <c r="D48" s="76">
        <f t="shared" si="11"/>
        <v>353</v>
      </c>
      <c r="E48" s="175">
        <f t="shared" si="12"/>
        <v>0.11766666666666667</v>
      </c>
      <c r="F48" s="205"/>
      <c r="G48" s="213">
        <v>3000</v>
      </c>
      <c r="H48" s="130">
        <v>3028</v>
      </c>
      <c r="I48" s="130">
        <f t="shared" si="13"/>
        <v>-28</v>
      </c>
      <c r="J48" s="220">
        <f t="shared" si="14"/>
        <v>-9.3333333333333341E-3</v>
      </c>
      <c r="K48" s="205"/>
      <c r="L48" s="181"/>
      <c r="M48" s="76"/>
      <c r="N48" s="76"/>
      <c r="O48" s="175"/>
      <c r="P48" s="205"/>
      <c r="Q48" s="213"/>
      <c r="R48" s="130"/>
      <c r="S48" s="130"/>
      <c r="T48" s="220"/>
      <c r="U48" s="205"/>
      <c r="V48" s="181">
        <f t="shared" si="15"/>
        <v>6000</v>
      </c>
      <c r="W48" s="76">
        <f t="shared" si="16"/>
        <v>5675</v>
      </c>
      <c r="X48" s="76">
        <f t="shared" si="17"/>
        <v>325</v>
      </c>
      <c r="Y48" s="175">
        <f t="shared" si="18"/>
        <v>5.4166666666666669E-2</v>
      </c>
      <c r="Z48" s="205"/>
      <c r="AA48" s="181">
        <v>12000</v>
      </c>
      <c r="AB48" s="76">
        <f t="shared" si="19"/>
        <v>6325</v>
      </c>
      <c r="AC48" s="175">
        <f t="shared" si="20"/>
        <v>0.52708333333333335</v>
      </c>
      <c r="AD48" s="163"/>
      <c r="AE48" s="89"/>
    </row>
    <row r="49" spans="1:31" ht="15.75" x14ac:dyDescent="0.25">
      <c r="A49" s="145" t="s">
        <v>53</v>
      </c>
      <c r="B49" s="181">
        <v>0</v>
      </c>
      <c r="C49" s="76">
        <v>0</v>
      </c>
      <c r="D49" s="76">
        <f t="shared" si="11"/>
        <v>0</v>
      </c>
      <c r="E49" s="175" t="str">
        <f t="shared" si="12"/>
        <v>-</v>
      </c>
      <c r="F49" s="205"/>
      <c r="G49" s="213">
        <v>0</v>
      </c>
      <c r="H49" s="130">
        <v>0</v>
      </c>
      <c r="I49" s="130">
        <f t="shared" si="13"/>
        <v>0</v>
      </c>
      <c r="J49" s="220" t="str">
        <f t="shared" si="14"/>
        <v>-</v>
      </c>
      <c r="K49" s="205"/>
      <c r="L49" s="181"/>
      <c r="M49" s="76"/>
      <c r="N49" s="76"/>
      <c r="O49" s="175"/>
      <c r="P49" s="205"/>
      <c r="Q49" s="213"/>
      <c r="R49" s="130"/>
      <c r="S49" s="130"/>
      <c r="T49" s="220"/>
      <c r="U49" s="205"/>
      <c r="V49" s="181">
        <f t="shared" si="15"/>
        <v>0</v>
      </c>
      <c r="W49" s="76">
        <f t="shared" si="16"/>
        <v>0</v>
      </c>
      <c r="X49" s="76">
        <f t="shared" si="17"/>
        <v>0</v>
      </c>
      <c r="Y49" s="175" t="str">
        <f t="shared" si="18"/>
        <v>-</v>
      </c>
      <c r="Z49" s="205"/>
      <c r="AA49" s="181">
        <v>0</v>
      </c>
      <c r="AB49" s="76">
        <f t="shared" si="19"/>
        <v>0</v>
      </c>
      <c r="AC49" s="175" t="str">
        <f t="shared" si="20"/>
        <v>-</v>
      </c>
      <c r="AD49" s="163"/>
      <c r="AE49" s="90"/>
    </row>
    <row r="50" spans="1:31" ht="15.75" x14ac:dyDescent="0.25">
      <c r="A50" s="145" t="s">
        <v>54</v>
      </c>
      <c r="B50" s="181">
        <v>0</v>
      </c>
      <c r="C50" s="76">
        <v>0</v>
      </c>
      <c r="D50" s="76">
        <f t="shared" si="11"/>
        <v>0</v>
      </c>
      <c r="E50" s="175" t="str">
        <f t="shared" si="12"/>
        <v>-</v>
      </c>
      <c r="F50" s="207"/>
      <c r="G50" s="213">
        <v>0</v>
      </c>
      <c r="H50" s="130">
        <v>0</v>
      </c>
      <c r="I50" s="130">
        <f t="shared" si="13"/>
        <v>0</v>
      </c>
      <c r="J50" s="220" t="str">
        <f t="shared" si="14"/>
        <v>-</v>
      </c>
      <c r="K50" s="207"/>
      <c r="L50" s="181"/>
      <c r="M50" s="76"/>
      <c r="N50" s="76"/>
      <c r="O50" s="175"/>
      <c r="P50" s="207"/>
      <c r="Q50" s="213"/>
      <c r="R50" s="130"/>
      <c r="S50" s="130"/>
      <c r="T50" s="220"/>
      <c r="U50" s="207"/>
      <c r="V50" s="181">
        <f t="shared" si="15"/>
        <v>0</v>
      </c>
      <c r="W50" s="76">
        <f t="shared" si="16"/>
        <v>0</v>
      </c>
      <c r="X50" s="76">
        <f t="shared" si="17"/>
        <v>0</v>
      </c>
      <c r="Y50" s="175" t="str">
        <f t="shared" si="18"/>
        <v>-</v>
      </c>
      <c r="Z50" s="207"/>
      <c r="AA50" s="181">
        <v>0</v>
      </c>
      <c r="AB50" s="76">
        <f t="shared" si="19"/>
        <v>0</v>
      </c>
      <c r="AC50" s="175" t="str">
        <f t="shared" si="20"/>
        <v>-</v>
      </c>
      <c r="AD50" s="165"/>
      <c r="AE50" s="77"/>
    </row>
    <row r="51" spans="1:31" ht="15.75" x14ac:dyDescent="0.25">
      <c r="A51" s="145" t="s">
        <v>55</v>
      </c>
      <c r="B51" s="181">
        <v>0</v>
      </c>
      <c r="C51" s="76">
        <v>0</v>
      </c>
      <c r="D51" s="76">
        <f t="shared" si="11"/>
        <v>0</v>
      </c>
      <c r="E51" s="175" t="str">
        <f t="shared" si="12"/>
        <v>-</v>
      </c>
      <c r="F51" s="207"/>
      <c r="G51" s="213">
        <v>0</v>
      </c>
      <c r="H51" s="130">
        <v>0</v>
      </c>
      <c r="I51" s="130">
        <f t="shared" si="13"/>
        <v>0</v>
      </c>
      <c r="J51" s="220" t="str">
        <f t="shared" si="14"/>
        <v>-</v>
      </c>
      <c r="K51" s="207"/>
      <c r="L51" s="181"/>
      <c r="M51" s="76"/>
      <c r="N51" s="76"/>
      <c r="O51" s="175"/>
      <c r="P51" s="207"/>
      <c r="Q51" s="213"/>
      <c r="R51" s="130"/>
      <c r="S51" s="130"/>
      <c r="T51" s="220"/>
      <c r="U51" s="207"/>
      <c r="V51" s="181">
        <f t="shared" si="15"/>
        <v>0</v>
      </c>
      <c r="W51" s="76">
        <f t="shared" si="16"/>
        <v>0</v>
      </c>
      <c r="X51" s="76">
        <f t="shared" si="17"/>
        <v>0</v>
      </c>
      <c r="Y51" s="175" t="str">
        <f t="shared" si="18"/>
        <v>-</v>
      </c>
      <c r="Z51" s="207"/>
      <c r="AA51" s="181">
        <v>0</v>
      </c>
      <c r="AB51" s="76">
        <f t="shared" si="19"/>
        <v>0</v>
      </c>
      <c r="AC51" s="175" t="str">
        <f t="shared" si="20"/>
        <v>-</v>
      </c>
      <c r="AD51" s="165"/>
      <c r="AE51" s="78"/>
    </row>
    <row r="52" spans="1:31" ht="15.75" x14ac:dyDescent="0.25">
      <c r="A52" s="145" t="s">
        <v>56</v>
      </c>
      <c r="B52" s="181">
        <v>0</v>
      </c>
      <c r="C52" s="76">
        <v>0</v>
      </c>
      <c r="D52" s="76">
        <f t="shared" si="11"/>
        <v>0</v>
      </c>
      <c r="E52" s="175" t="str">
        <f t="shared" si="12"/>
        <v>-</v>
      </c>
      <c r="F52" s="207"/>
      <c r="G52" s="213">
        <v>0</v>
      </c>
      <c r="H52" s="130">
        <v>0</v>
      </c>
      <c r="I52" s="130">
        <f t="shared" si="13"/>
        <v>0</v>
      </c>
      <c r="J52" s="220" t="str">
        <f t="shared" si="14"/>
        <v>-</v>
      </c>
      <c r="K52" s="207"/>
      <c r="L52" s="181"/>
      <c r="M52" s="76"/>
      <c r="N52" s="76"/>
      <c r="O52" s="175"/>
      <c r="P52" s="207"/>
      <c r="Q52" s="213"/>
      <c r="R52" s="130"/>
      <c r="S52" s="130"/>
      <c r="T52" s="220"/>
      <c r="U52" s="207"/>
      <c r="V52" s="181">
        <f t="shared" si="15"/>
        <v>0</v>
      </c>
      <c r="W52" s="76">
        <f t="shared" si="16"/>
        <v>0</v>
      </c>
      <c r="X52" s="76">
        <f t="shared" si="17"/>
        <v>0</v>
      </c>
      <c r="Y52" s="175" t="str">
        <f t="shared" si="18"/>
        <v>-</v>
      </c>
      <c r="Z52" s="207"/>
      <c r="AA52" s="181">
        <v>0</v>
      </c>
      <c r="AB52" s="76">
        <v>0</v>
      </c>
      <c r="AC52" s="175" t="str">
        <f t="shared" si="20"/>
        <v>-</v>
      </c>
      <c r="AD52" s="165"/>
      <c r="AE52" s="78"/>
    </row>
    <row r="53" spans="1:31" ht="15.75" x14ac:dyDescent="0.25">
      <c r="A53" s="145" t="s">
        <v>57</v>
      </c>
      <c r="B53" s="181">
        <v>0</v>
      </c>
      <c r="C53" s="76">
        <v>0</v>
      </c>
      <c r="D53" s="76">
        <f t="shared" si="11"/>
        <v>0</v>
      </c>
      <c r="E53" s="176" t="str">
        <f t="shared" si="12"/>
        <v>-</v>
      </c>
      <c r="F53" s="207"/>
      <c r="G53" s="213">
        <v>0</v>
      </c>
      <c r="H53" s="130">
        <v>0</v>
      </c>
      <c r="I53" s="130">
        <f t="shared" si="13"/>
        <v>0</v>
      </c>
      <c r="J53" s="214" t="str">
        <f t="shared" si="14"/>
        <v>-</v>
      </c>
      <c r="K53" s="207"/>
      <c r="L53" s="181"/>
      <c r="M53" s="76"/>
      <c r="N53" s="76"/>
      <c r="O53" s="176"/>
      <c r="P53" s="207"/>
      <c r="Q53" s="213"/>
      <c r="R53" s="130"/>
      <c r="S53" s="130"/>
      <c r="T53" s="214"/>
      <c r="U53" s="207"/>
      <c r="V53" s="181">
        <f t="shared" si="15"/>
        <v>0</v>
      </c>
      <c r="W53" s="76">
        <f t="shared" si="16"/>
        <v>0</v>
      </c>
      <c r="X53" s="76">
        <f t="shared" si="17"/>
        <v>0</v>
      </c>
      <c r="Y53" s="176" t="str">
        <f t="shared" si="18"/>
        <v>-</v>
      </c>
      <c r="Z53" s="207"/>
      <c r="AA53" s="181">
        <v>0</v>
      </c>
      <c r="AB53" s="76">
        <f t="shared" ref="AB53:AB62" si="21">AA53-W53</f>
        <v>0</v>
      </c>
      <c r="AC53" s="176" t="str">
        <f t="shared" si="20"/>
        <v>-</v>
      </c>
      <c r="AD53" s="165"/>
      <c r="AE53" s="77"/>
    </row>
    <row r="54" spans="1:31" ht="15.75" x14ac:dyDescent="0.25">
      <c r="A54" s="145" t="s">
        <v>58</v>
      </c>
      <c r="B54" s="181">
        <v>0</v>
      </c>
      <c r="C54" s="76">
        <v>0</v>
      </c>
      <c r="D54" s="76">
        <f t="shared" si="11"/>
        <v>0</v>
      </c>
      <c r="E54" s="176" t="str">
        <f t="shared" si="12"/>
        <v>-</v>
      </c>
      <c r="F54" s="207"/>
      <c r="G54" s="213">
        <v>0</v>
      </c>
      <c r="H54" s="130">
        <v>0</v>
      </c>
      <c r="I54" s="130">
        <f t="shared" si="13"/>
        <v>0</v>
      </c>
      <c r="J54" s="214" t="str">
        <f t="shared" si="14"/>
        <v>-</v>
      </c>
      <c r="K54" s="207"/>
      <c r="L54" s="181"/>
      <c r="M54" s="76"/>
      <c r="N54" s="76"/>
      <c r="O54" s="176"/>
      <c r="P54" s="207"/>
      <c r="Q54" s="213"/>
      <c r="R54" s="130"/>
      <c r="S54" s="130"/>
      <c r="T54" s="214"/>
      <c r="U54" s="207"/>
      <c r="V54" s="181">
        <f t="shared" si="15"/>
        <v>0</v>
      </c>
      <c r="W54" s="76">
        <f t="shared" si="16"/>
        <v>0</v>
      </c>
      <c r="X54" s="76">
        <f t="shared" si="17"/>
        <v>0</v>
      </c>
      <c r="Y54" s="176" t="str">
        <f t="shared" si="18"/>
        <v>-</v>
      </c>
      <c r="Z54" s="207"/>
      <c r="AA54" s="181">
        <v>0</v>
      </c>
      <c r="AB54" s="76">
        <f t="shared" si="21"/>
        <v>0</v>
      </c>
      <c r="AC54" s="176" t="str">
        <f t="shared" si="20"/>
        <v>-</v>
      </c>
      <c r="AD54" s="165"/>
      <c r="AE54" s="77"/>
    </row>
    <row r="55" spans="1:31" ht="15.75" x14ac:dyDescent="0.25">
      <c r="A55" s="145" t="s">
        <v>59</v>
      </c>
      <c r="B55" s="181">
        <v>0</v>
      </c>
      <c r="C55" s="76">
        <v>0</v>
      </c>
      <c r="D55" s="76">
        <f t="shared" si="11"/>
        <v>0</v>
      </c>
      <c r="E55" s="175" t="str">
        <f t="shared" si="12"/>
        <v>-</v>
      </c>
      <c r="F55" s="207"/>
      <c r="G55" s="213">
        <v>0</v>
      </c>
      <c r="H55" s="130">
        <v>0</v>
      </c>
      <c r="I55" s="130">
        <f t="shared" si="13"/>
        <v>0</v>
      </c>
      <c r="J55" s="220" t="str">
        <f t="shared" si="14"/>
        <v>-</v>
      </c>
      <c r="K55" s="207"/>
      <c r="L55" s="181"/>
      <c r="M55" s="76"/>
      <c r="N55" s="76"/>
      <c r="O55" s="175"/>
      <c r="P55" s="207"/>
      <c r="Q55" s="213"/>
      <c r="R55" s="130"/>
      <c r="S55" s="130"/>
      <c r="T55" s="220"/>
      <c r="U55" s="207"/>
      <c r="V55" s="181">
        <f t="shared" si="15"/>
        <v>0</v>
      </c>
      <c r="W55" s="76">
        <f t="shared" si="16"/>
        <v>0</v>
      </c>
      <c r="X55" s="76">
        <f t="shared" si="17"/>
        <v>0</v>
      </c>
      <c r="Y55" s="175" t="str">
        <f t="shared" si="18"/>
        <v>-</v>
      </c>
      <c r="Z55" s="207"/>
      <c r="AA55" s="181">
        <v>1800</v>
      </c>
      <c r="AB55" s="76">
        <f t="shared" si="21"/>
        <v>1800</v>
      </c>
      <c r="AC55" s="175">
        <f t="shared" si="20"/>
        <v>1</v>
      </c>
      <c r="AD55" s="165"/>
      <c r="AE55" s="78"/>
    </row>
    <row r="56" spans="1:31" ht="15.75" x14ac:dyDescent="0.25">
      <c r="A56" s="145" t="s">
        <v>60</v>
      </c>
      <c r="B56" s="181">
        <v>11500</v>
      </c>
      <c r="C56" s="76">
        <v>6307</v>
      </c>
      <c r="D56" s="76">
        <f t="shared" si="11"/>
        <v>5193</v>
      </c>
      <c r="E56" s="175">
        <f t="shared" si="12"/>
        <v>0.45156521739130434</v>
      </c>
      <c r="F56" s="207"/>
      <c r="G56" s="213">
        <v>11500</v>
      </c>
      <c r="H56" s="130">
        <v>9617</v>
      </c>
      <c r="I56" s="130">
        <f t="shared" si="13"/>
        <v>1883</v>
      </c>
      <c r="J56" s="220">
        <f t="shared" si="14"/>
        <v>0.16373913043478261</v>
      </c>
      <c r="K56" s="207"/>
      <c r="L56" s="181"/>
      <c r="M56" s="76"/>
      <c r="N56" s="76"/>
      <c r="O56" s="175"/>
      <c r="P56" s="207"/>
      <c r="Q56" s="213"/>
      <c r="R56" s="130"/>
      <c r="S56" s="130"/>
      <c r="T56" s="220"/>
      <c r="U56" s="207"/>
      <c r="V56" s="181">
        <f t="shared" si="15"/>
        <v>23000</v>
      </c>
      <c r="W56" s="76">
        <f t="shared" si="16"/>
        <v>15924</v>
      </c>
      <c r="X56" s="76">
        <f t="shared" si="17"/>
        <v>7076</v>
      </c>
      <c r="Y56" s="175">
        <f t="shared" si="18"/>
        <v>0.3076521739130435</v>
      </c>
      <c r="Z56" s="207"/>
      <c r="AA56" s="181">
        <v>46000</v>
      </c>
      <c r="AB56" s="76">
        <f t="shared" si="21"/>
        <v>30076</v>
      </c>
      <c r="AC56" s="175">
        <f t="shared" si="20"/>
        <v>0.65382608695652178</v>
      </c>
      <c r="AD56" s="165"/>
      <c r="AE56" s="78"/>
    </row>
    <row r="57" spans="1:31" ht="15.75" x14ac:dyDescent="0.25">
      <c r="A57" s="145" t="s">
        <v>61</v>
      </c>
      <c r="B57" s="181">
        <v>2250</v>
      </c>
      <c r="C57" s="76">
        <v>0</v>
      </c>
      <c r="D57" s="76">
        <f t="shared" si="11"/>
        <v>2250</v>
      </c>
      <c r="E57" s="175">
        <f t="shared" si="12"/>
        <v>1</v>
      </c>
      <c r="F57" s="205"/>
      <c r="G57" s="213">
        <v>2250</v>
      </c>
      <c r="H57" s="130">
        <v>0</v>
      </c>
      <c r="I57" s="130">
        <f t="shared" si="13"/>
        <v>2250</v>
      </c>
      <c r="J57" s="220">
        <f t="shared" si="14"/>
        <v>1</v>
      </c>
      <c r="K57" s="205"/>
      <c r="L57" s="181"/>
      <c r="M57" s="76"/>
      <c r="N57" s="76"/>
      <c r="O57" s="175"/>
      <c r="P57" s="205"/>
      <c r="Q57" s="213"/>
      <c r="R57" s="130"/>
      <c r="S57" s="130"/>
      <c r="T57" s="220"/>
      <c r="U57" s="205"/>
      <c r="V57" s="181">
        <f t="shared" si="15"/>
        <v>4500</v>
      </c>
      <c r="W57" s="76">
        <f t="shared" si="16"/>
        <v>0</v>
      </c>
      <c r="X57" s="76">
        <f t="shared" si="17"/>
        <v>4500</v>
      </c>
      <c r="Y57" s="175">
        <f t="shared" si="18"/>
        <v>1</v>
      </c>
      <c r="Z57" s="205"/>
      <c r="AA57" s="181">
        <v>9000</v>
      </c>
      <c r="AB57" s="76">
        <f t="shared" si="21"/>
        <v>9000</v>
      </c>
      <c r="AC57" s="175">
        <f t="shared" si="20"/>
        <v>1</v>
      </c>
      <c r="AD57" s="163"/>
      <c r="AE57" s="78"/>
    </row>
    <row r="58" spans="1:31" ht="15.75" x14ac:dyDescent="0.25">
      <c r="A58" s="145" t="s">
        <v>62</v>
      </c>
      <c r="B58" s="181">
        <v>3750</v>
      </c>
      <c r="C58" s="76">
        <v>2975</v>
      </c>
      <c r="D58" s="76">
        <f t="shared" si="11"/>
        <v>775</v>
      </c>
      <c r="E58" s="175">
        <f t="shared" si="12"/>
        <v>0.20666666666666667</v>
      </c>
      <c r="F58" s="205"/>
      <c r="G58" s="213">
        <v>3750</v>
      </c>
      <c r="H58" s="130">
        <v>2257</v>
      </c>
      <c r="I58" s="130">
        <f t="shared" si="13"/>
        <v>1493</v>
      </c>
      <c r="J58" s="220">
        <f t="shared" si="14"/>
        <v>0.39813333333333334</v>
      </c>
      <c r="K58" s="205"/>
      <c r="L58" s="181"/>
      <c r="M58" s="76"/>
      <c r="N58" s="76"/>
      <c r="O58" s="175"/>
      <c r="P58" s="205"/>
      <c r="Q58" s="213"/>
      <c r="R58" s="130"/>
      <c r="S58" s="130"/>
      <c r="T58" s="220"/>
      <c r="U58" s="205"/>
      <c r="V58" s="181">
        <f t="shared" si="15"/>
        <v>7500</v>
      </c>
      <c r="W58" s="76">
        <f t="shared" si="16"/>
        <v>5232</v>
      </c>
      <c r="X58" s="76">
        <f t="shared" si="17"/>
        <v>2268</v>
      </c>
      <c r="Y58" s="175">
        <f t="shared" si="18"/>
        <v>0.3024</v>
      </c>
      <c r="Z58" s="205"/>
      <c r="AA58" s="181">
        <v>15000</v>
      </c>
      <c r="AB58" s="76">
        <f t="shared" si="21"/>
        <v>9768</v>
      </c>
      <c r="AC58" s="175">
        <f t="shared" si="20"/>
        <v>0.6512</v>
      </c>
      <c r="AD58" s="163"/>
      <c r="AE58" s="78"/>
    </row>
    <row r="59" spans="1:31" ht="15.75" x14ac:dyDescent="0.25">
      <c r="A59" s="145" t="s">
        <v>63</v>
      </c>
      <c r="B59" s="181">
        <v>6250</v>
      </c>
      <c r="C59" s="76">
        <v>6281</v>
      </c>
      <c r="D59" s="76">
        <f t="shared" si="11"/>
        <v>-31</v>
      </c>
      <c r="E59" s="175">
        <f t="shared" si="12"/>
        <v>-4.96E-3</v>
      </c>
      <c r="F59" s="205"/>
      <c r="G59" s="213">
        <v>6250</v>
      </c>
      <c r="H59" s="130">
        <v>3793</v>
      </c>
      <c r="I59" s="130">
        <f t="shared" si="13"/>
        <v>2457</v>
      </c>
      <c r="J59" s="220">
        <f t="shared" si="14"/>
        <v>0.39312000000000002</v>
      </c>
      <c r="K59" s="205"/>
      <c r="L59" s="181"/>
      <c r="M59" s="76"/>
      <c r="N59" s="76"/>
      <c r="O59" s="175"/>
      <c r="P59" s="205"/>
      <c r="Q59" s="213"/>
      <c r="R59" s="130"/>
      <c r="S59" s="130"/>
      <c r="T59" s="220"/>
      <c r="U59" s="205"/>
      <c r="V59" s="181">
        <f t="shared" si="15"/>
        <v>12500</v>
      </c>
      <c r="W59" s="76">
        <f t="shared" si="16"/>
        <v>10074</v>
      </c>
      <c r="X59" s="76">
        <f t="shared" si="17"/>
        <v>2426</v>
      </c>
      <c r="Y59" s="175">
        <f t="shared" si="18"/>
        <v>0.19408</v>
      </c>
      <c r="Z59" s="205"/>
      <c r="AA59" s="181">
        <v>25000</v>
      </c>
      <c r="AB59" s="76">
        <f t="shared" si="21"/>
        <v>14926</v>
      </c>
      <c r="AC59" s="175">
        <f t="shared" si="20"/>
        <v>0.59704000000000002</v>
      </c>
      <c r="AD59" s="163"/>
      <c r="AE59" s="78"/>
    </row>
    <row r="60" spans="1:31" ht="15.75" x14ac:dyDescent="0.25">
      <c r="A60" s="145" t="s">
        <v>64</v>
      </c>
      <c r="B60" s="181">
        <v>3750</v>
      </c>
      <c r="C60" s="76">
        <v>2397</v>
      </c>
      <c r="D60" s="76">
        <f t="shared" si="11"/>
        <v>1353</v>
      </c>
      <c r="E60" s="175">
        <f t="shared" si="12"/>
        <v>0.36080000000000001</v>
      </c>
      <c r="F60" s="205"/>
      <c r="G60" s="213">
        <v>3750</v>
      </c>
      <c r="H60" s="130">
        <v>1483</v>
      </c>
      <c r="I60" s="130">
        <f t="shared" si="13"/>
        <v>2267</v>
      </c>
      <c r="J60" s="220">
        <f t="shared" si="14"/>
        <v>0.60453333333333337</v>
      </c>
      <c r="K60" s="205"/>
      <c r="L60" s="181"/>
      <c r="M60" s="76"/>
      <c r="N60" s="76"/>
      <c r="O60" s="175"/>
      <c r="P60" s="205"/>
      <c r="Q60" s="213"/>
      <c r="R60" s="130"/>
      <c r="S60" s="130"/>
      <c r="T60" s="220"/>
      <c r="U60" s="205"/>
      <c r="V60" s="181">
        <f t="shared" si="15"/>
        <v>7500</v>
      </c>
      <c r="W60" s="76">
        <f t="shared" si="16"/>
        <v>3880</v>
      </c>
      <c r="X60" s="76">
        <f t="shared" si="17"/>
        <v>3620</v>
      </c>
      <c r="Y60" s="175">
        <f t="shared" si="18"/>
        <v>0.48266666666666669</v>
      </c>
      <c r="Z60" s="205"/>
      <c r="AA60" s="181">
        <v>15000</v>
      </c>
      <c r="AB60" s="76">
        <f t="shared" si="21"/>
        <v>11120</v>
      </c>
      <c r="AC60" s="175">
        <f t="shared" si="20"/>
        <v>0.74133333333333329</v>
      </c>
      <c r="AD60" s="163"/>
      <c r="AE60" s="78"/>
    </row>
    <row r="61" spans="1:31" ht="15.75" x14ac:dyDescent="0.25">
      <c r="A61" s="145" t="s">
        <v>65</v>
      </c>
      <c r="B61" s="181">
        <v>1250</v>
      </c>
      <c r="C61" s="76">
        <v>588</v>
      </c>
      <c r="D61" s="76">
        <f t="shared" si="11"/>
        <v>662</v>
      </c>
      <c r="E61" s="175">
        <f t="shared" si="12"/>
        <v>0.52959999999999996</v>
      </c>
      <c r="F61" s="207"/>
      <c r="G61" s="213">
        <v>1250</v>
      </c>
      <c r="H61" s="130">
        <v>278</v>
      </c>
      <c r="I61" s="130">
        <f t="shared" si="13"/>
        <v>972</v>
      </c>
      <c r="J61" s="220">
        <f t="shared" si="14"/>
        <v>0.77759999999999996</v>
      </c>
      <c r="K61" s="207"/>
      <c r="L61" s="181"/>
      <c r="M61" s="76"/>
      <c r="N61" s="76"/>
      <c r="O61" s="175"/>
      <c r="P61" s="207"/>
      <c r="Q61" s="213"/>
      <c r="R61" s="130"/>
      <c r="S61" s="130"/>
      <c r="T61" s="220"/>
      <c r="U61" s="207"/>
      <c r="V61" s="181">
        <f t="shared" si="15"/>
        <v>2500</v>
      </c>
      <c r="W61" s="76">
        <f t="shared" si="16"/>
        <v>866</v>
      </c>
      <c r="X61" s="76">
        <f t="shared" si="17"/>
        <v>1634</v>
      </c>
      <c r="Y61" s="175">
        <f t="shared" si="18"/>
        <v>0.65359999999999996</v>
      </c>
      <c r="Z61" s="207"/>
      <c r="AA61" s="181">
        <v>2500</v>
      </c>
      <c r="AB61" s="76">
        <f t="shared" si="21"/>
        <v>1634</v>
      </c>
      <c r="AC61" s="175">
        <f t="shared" si="20"/>
        <v>0.65359999999999996</v>
      </c>
      <c r="AD61" s="165"/>
      <c r="AE61" s="78"/>
    </row>
    <row r="62" spans="1:31" ht="15.75" x14ac:dyDescent="0.25">
      <c r="A62" s="145" t="s">
        <v>66</v>
      </c>
      <c r="B62" s="181">
        <v>0</v>
      </c>
      <c r="C62" s="76">
        <v>0</v>
      </c>
      <c r="D62" s="76">
        <f t="shared" si="11"/>
        <v>0</v>
      </c>
      <c r="E62" s="176" t="str">
        <f t="shared" si="12"/>
        <v>-</v>
      </c>
      <c r="F62" s="207"/>
      <c r="G62" s="213">
        <v>0</v>
      </c>
      <c r="H62" s="130">
        <v>0</v>
      </c>
      <c r="I62" s="130">
        <f t="shared" si="13"/>
        <v>0</v>
      </c>
      <c r="J62" s="214" t="str">
        <f t="shared" si="14"/>
        <v>-</v>
      </c>
      <c r="K62" s="207"/>
      <c r="L62" s="181"/>
      <c r="M62" s="76"/>
      <c r="N62" s="76"/>
      <c r="O62" s="176"/>
      <c r="P62" s="207"/>
      <c r="Q62" s="213"/>
      <c r="R62" s="130"/>
      <c r="S62" s="130"/>
      <c r="T62" s="214"/>
      <c r="U62" s="207"/>
      <c r="V62" s="181">
        <f t="shared" si="15"/>
        <v>0</v>
      </c>
      <c r="W62" s="76">
        <f t="shared" si="16"/>
        <v>0</v>
      </c>
      <c r="X62" s="76">
        <f t="shared" si="17"/>
        <v>0</v>
      </c>
      <c r="Y62" s="176" t="str">
        <f t="shared" si="18"/>
        <v>-</v>
      </c>
      <c r="Z62" s="207"/>
      <c r="AA62" s="181">
        <v>0</v>
      </c>
      <c r="AB62" s="76">
        <f t="shared" si="21"/>
        <v>0</v>
      </c>
      <c r="AC62" s="176" t="str">
        <f t="shared" si="20"/>
        <v>-</v>
      </c>
      <c r="AD62" s="165"/>
      <c r="AE62" s="77"/>
    </row>
    <row r="63" spans="1:31" ht="15.75" x14ac:dyDescent="0.25">
      <c r="A63" s="145" t="s">
        <v>215</v>
      </c>
      <c r="B63" s="181"/>
      <c r="C63" s="76"/>
      <c r="D63" s="76"/>
      <c r="E63" s="176"/>
      <c r="F63" s="207"/>
      <c r="G63" s="213"/>
      <c r="H63" s="130"/>
      <c r="I63" s="130"/>
      <c r="J63" s="214"/>
      <c r="K63" s="207"/>
      <c r="L63" s="181"/>
      <c r="M63" s="76"/>
      <c r="N63" s="76"/>
      <c r="O63" s="176"/>
      <c r="P63" s="207"/>
      <c r="Q63" s="213"/>
      <c r="R63" s="130"/>
      <c r="S63" s="130"/>
      <c r="T63" s="214"/>
      <c r="U63" s="207"/>
      <c r="V63" s="181"/>
      <c r="W63" s="76"/>
      <c r="X63" s="76"/>
      <c r="Y63" s="176"/>
      <c r="Z63" s="207"/>
      <c r="AA63" s="181"/>
      <c r="AB63" s="76"/>
      <c r="AC63" s="176"/>
      <c r="AD63" s="165"/>
      <c r="AE63" s="77"/>
    </row>
    <row r="64" spans="1:31" ht="15.75" x14ac:dyDescent="0.25">
      <c r="A64" s="145" t="s">
        <v>68</v>
      </c>
      <c r="B64" s="181">
        <v>1250</v>
      </c>
      <c r="C64" s="76">
        <v>0</v>
      </c>
      <c r="D64" s="76">
        <f>B64-C64</f>
        <v>1250</v>
      </c>
      <c r="E64" s="175">
        <f>IF(ISERROR(D64/B64),"-",D64/B64)</f>
        <v>1</v>
      </c>
      <c r="F64" s="207"/>
      <c r="G64" s="213">
        <v>1250</v>
      </c>
      <c r="H64" s="130">
        <v>0</v>
      </c>
      <c r="I64" s="130">
        <f>G64-H64</f>
        <v>1250</v>
      </c>
      <c r="J64" s="220">
        <f>IF(ISERROR(I64/G64),"-",I64/G64)</f>
        <v>1</v>
      </c>
      <c r="K64" s="207"/>
      <c r="L64" s="181"/>
      <c r="M64" s="76"/>
      <c r="N64" s="76"/>
      <c r="O64" s="175"/>
      <c r="P64" s="207"/>
      <c r="Q64" s="213"/>
      <c r="R64" s="130"/>
      <c r="S64" s="130"/>
      <c r="T64" s="220"/>
      <c r="U64" s="207"/>
      <c r="V64" s="181">
        <f>B64+G64+L64+Q64</f>
        <v>2500</v>
      </c>
      <c r="W64" s="76">
        <f>C64+H64+M64+R64</f>
        <v>0</v>
      </c>
      <c r="X64" s="76">
        <f>V64-W64</f>
        <v>2500</v>
      </c>
      <c r="Y64" s="175">
        <f>IF(ISERROR(X64/V64),"-",X64/V64)</f>
        <v>1</v>
      </c>
      <c r="Z64" s="207"/>
      <c r="AA64" s="181">
        <v>5000</v>
      </c>
      <c r="AB64" s="76">
        <f>AA64-W64</f>
        <v>5000</v>
      </c>
      <c r="AC64" s="175">
        <f>IF(ISERROR(AB64/AA64),"-",AB64/AA64)</f>
        <v>1</v>
      </c>
      <c r="AD64" s="165"/>
      <c r="AE64" s="78"/>
    </row>
    <row r="65" spans="1:31" ht="15" customHeight="1" x14ac:dyDescent="0.25">
      <c r="A65" s="145" t="s">
        <v>69</v>
      </c>
      <c r="B65" s="181">
        <v>1250</v>
      </c>
      <c r="C65" s="76">
        <v>0</v>
      </c>
      <c r="D65" s="76">
        <f>B65-C65</f>
        <v>1250</v>
      </c>
      <c r="E65" s="176">
        <f>IF(ISERROR(D65/B65),"-",D65/B65)</f>
        <v>1</v>
      </c>
      <c r="F65" s="205"/>
      <c r="G65" s="213">
        <v>1250</v>
      </c>
      <c r="H65" s="130">
        <v>0</v>
      </c>
      <c r="I65" s="130">
        <f>G65-H65</f>
        <v>1250</v>
      </c>
      <c r="J65" s="214">
        <f>IF(ISERROR(I65/G65),"-",I65/G65)</f>
        <v>1</v>
      </c>
      <c r="K65" s="205"/>
      <c r="L65" s="181"/>
      <c r="M65" s="76"/>
      <c r="N65" s="76"/>
      <c r="O65" s="176"/>
      <c r="P65" s="205"/>
      <c r="Q65" s="213"/>
      <c r="R65" s="130"/>
      <c r="S65" s="130"/>
      <c r="T65" s="214"/>
      <c r="U65" s="205"/>
      <c r="V65" s="181">
        <f>B65+G65+L65+Q65</f>
        <v>2500</v>
      </c>
      <c r="W65" s="76">
        <f>C65+H65+M65+R65</f>
        <v>0</v>
      </c>
      <c r="X65" s="76">
        <f>V65-W65</f>
        <v>2500</v>
      </c>
      <c r="Y65" s="176">
        <f>IF(ISERROR(X65/V65),"-",X65/V65)</f>
        <v>1</v>
      </c>
      <c r="Z65" s="205"/>
      <c r="AA65" s="181">
        <v>5000</v>
      </c>
      <c r="AB65" s="76">
        <f>AA65-W65</f>
        <v>5000</v>
      </c>
      <c r="AC65" s="176">
        <f>IF(ISERROR(AB65/AA65),"-",AB65/AA65)</f>
        <v>1</v>
      </c>
      <c r="AD65" s="163"/>
      <c r="AE65" s="77"/>
    </row>
    <row r="66" spans="1:31" ht="15" customHeight="1" x14ac:dyDescent="0.25">
      <c r="A66" s="145" t="s">
        <v>70</v>
      </c>
      <c r="B66" s="181"/>
      <c r="C66" s="76"/>
      <c r="D66" s="76"/>
      <c r="E66" s="176"/>
      <c r="F66" s="205"/>
      <c r="G66" s="213"/>
      <c r="H66" s="130"/>
      <c r="I66" s="130"/>
      <c r="J66" s="214"/>
      <c r="K66" s="205"/>
      <c r="L66" s="181"/>
      <c r="M66" s="76"/>
      <c r="N66" s="76"/>
      <c r="O66" s="176"/>
      <c r="P66" s="205"/>
      <c r="Q66" s="213"/>
      <c r="R66" s="130"/>
      <c r="S66" s="130"/>
      <c r="T66" s="214"/>
      <c r="U66" s="205"/>
      <c r="V66" s="181"/>
      <c r="W66" s="76"/>
      <c r="X66" s="76"/>
      <c r="Y66" s="176"/>
      <c r="Z66" s="205"/>
      <c r="AA66" s="181"/>
      <c r="AB66" s="76"/>
      <c r="AC66" s="176"/>
      <c r="AD66" s="163"/>
      <c r="AE66" s="77"/>
    </row>
    <row r="67" spans="1:31" ht="15" customHeight="1" x14ac:dyDescent="0.25">
      <c r="A67" s="145" t="s">
        <v>71</v>
      </c>
      <c r="B67" s="181"/>
      <c r="C67" s="76"/>
      <c r="D67" s="76"/>
      <c r="E67" s="176"/>
      <c r="F67" s="205"/>
      <c r="G67" s="213"/>
      <c r="H67" s="130"/>
      <c r="I67" s="130"/>
      <c r="J67" s="214"/>
      <c r="K67" s="205"/>
      <c r="L67" s="181"/>
      <c r="M67" s="76"/>
      <c r="N67" s="76"/>
      <c r="O67" s="176"/>
      <c r="P67" s="205"/>
      <c r="Q67" s="213"/>
      <c r="R67" s="130"/>
      <c r="S67" s="130"/>
      <c r="T67" s="214"/>
      <c r="U67" s="205"/>
      <c r="V67" s="181"/>
      <c r="W67" s="76"/>
      <c r="X67" s="76"/>
      <c r="Y67" s="176"/>
      <c r="Z67" s="205"/>
      <c r="AA67" s="181"/>
      <c r="AB67" s="76"/>
      <c r="AC67" s="176"/>
      <c r="AD67" s="163"/>
      <c r="AE67" s="77"/>
    </row>
    <row r="68" spans="1:31" ht="15.75" x14ac:dyDescent="0.25">
      <c r="A68" s="145" t="s">
        <v>72</v>
      </c>
      <c r="B68" s="181">
        <v>1200</v>
      </c>
      <c r="C68" s="76">
        <v>0</v>
      </c>
      <c r="D68" s="76">
        <f>B68-C68</f>
        <v>1200</v>
      </c>
      <c r="E68" s="176">
        <f>IF(ISERROR(D68/B68),"-",D68/B68)</f>
        <v>1</v>
      </c>
      <c r="F68" s="207"/>
      <c r="G68" s="213">
        <v>0</v>
      </c>
      <c r="H68" s="130">
        <v>0</v>
      </c>
      <c r="I68" s="130">
        <f>G68-H68</f>
        <v>0</v>
      </c>
      <c r="J68" s="214" t="str">
        <f>IF(ISERROR(I68/G68),"-",I68/G68)</f>
        <v>-</v>
      </c>
      <c r="K68" s="207"/>
      <c r="L68" s="181"/>
      <c r="M68" s="76"/>
      <c r="N68" s="76"/>
      <c r="O68" s="176"/>
      <c r="P68" s="207"/>
      <c r="Q68" s="213"/>
      <c r="R68" s="130"/>
      <c r="S68" s="130"/>
      <c r="T68" s="214"/>
      <c r="U68" s="207"/>
      <c r="V68" s="181">
        <f>B68+G68+L68+Q68</f>
        <v>1200</v>
      </c>
      <c r="W68" s="76">
        <f>C68+H68+M68+R68</f>
        <v>0</v>
      </c>
      <c r="X68" s="76">
        <f>V68-W68</f>
        <v>1200</v>
      </c>
      <c r="Y68" s="176">
        <f>IF(ISERROR(X68/V68),"-",X68/V68)</f>
        <v>1</v>
      </c>
      <c r="Z68" s="207"/>
      <c r="AA68" s="181">
        <v>1200</v>
      </c>
      <c r="AB68" s="76">
        <f>AA68-W68</f>
        <v>1200</v>
      </c>
      <c r="AC68" s="176">
        <f>IF(ISERROR(AB68/AA68),"-",AB68/AA68)</f>
        <v>1</v>
      </c>
      <c r="AD68" s="165"/>
      <c r="AE68" s="77"/>
    </row>
    <row r="69" spans="1:31" ht="15.75" x14ac:dyDescent="0.25">
      <c r="A69" s="145" t="s">
        <v>73</v>
      </c>
      <c r="B69" s="181">
        <v>250</v>
      </c>
      <c r="C69" s="76">
        <v>0</v>
      </c>
      <c r="D69" s="76">
        <f>B69-C69</f>
        <v>250</v>
      </c>
      <c r="E69" s="175">
        <f>IF(ISERROR(D69/B69),"-",D69/B69)</f>
        <v>1</v>
      </c>
      <c r="F69" s="207"/>
      <c r="G69" s="213">
        <v>250</v>
      </c>
      <c r="H69" s="130">
        <v>0</v>
      </c>
      <c r="I69" s="130">
        <f>G69-H69</f>
        <v>250</v>
      </c>
      <c r="J69" s="220">
        <f>IF(ISERROR(I69/G69),"-",I69/G69)</f>
        <v>1</v>
      </c>
      <c r="K69" s="207"/>
      <c r="L69" s="181"/>
      <c r="M69" s="76"/>
      <c r="N69" s="76"/>
      <c r="O69" s="175"/>
      <c r="P69" s="207"/>
      <c r="Q69" s="213"/>
      <c r="R69" s="130"/>
      <c r="S69" s="130"/>
      <c r="T69" s="220"/>
      <c r="U69" s="207"/>
      <c r="V69" s="181">
        <f>B69+G69+L69+Q69</f>
        <v>500</v>
      </c>
      <c r="W69" s="76">
        <f>C69+H69+M69+R69</f>
        <v>0</v>
      </c>
      <c r="X69" s="76">
        <f>V69-W69</f>
        <v>500</v>
      </c>
      <c r="Y69" s="175">
        <f>IF(ISERROR(X69/V69),"-",X69/V69)</f>
        <v>1</v>
      </c>
      <c r="Z69" s="207"/>
      <c r="AA69" s="181">
        <v>1000</v>
      </c>
      <c r="AB69" s="76">
        <f>AA69-W69</f>
        <v>1000</v>
      </c>
      <c r="AC69" s="175">
        <f>IF(ISERROR(AB69/AA69),"-",AB69/AA69)</f>
        <v>1</v>
      </c>
      <c r="AD69" s="165"/>
      <c r="AE69" s="78"/>
    </row>
    <row r="70" spans="1:31" ht="15.75" x14ac:dyDescent="0.25">
      <c r="A70" s="145" t="s">
        <v>74</v>
      </c>
      <c r="B70" s="181"/>
      <c r="C70" s="76"/>
      <c r="D70" s="76"/>
      <c r="E70" s="175"/>
      <c r="F70" s="207"/>
      <c r="G70" s="213"/>
      <c r="H70" s="130"/>
      <c r="I70" s="130"/>
      <c r="J70" s="220"/>
      <c r="K70" s="207"/>
      <c r="L70" s="181"/>
      <c r="M70" s="76"/>
      <c r="N70" s="76"/>
      <c r="O70" s="175"/>
      <c r="P70" s="207"/>
      <c r="Q70" s="213"/>
      <c r="R70" s="130"/>
      <c r="S70" s="130"/>
      <c r="T70" s="220"/>
      <c r="U70" s="207"/>
      <c r="V70" s="181"/>
      <c r="W70" s="76"/>
      <c r="X70" s="76"/>
      <c r="Y70" s="175"/>
      <c r="Z70" s="207"/>
      <c r="AA70" s="181"/>
      <c r="AB70" s="76"/>
      <c r="AC70" s="175"/>
      <c r="AD70" s="165"/>
      <c r="AE70" s="78"/>
    </row>
    <row r="71" spans="1:31" ht="15.75" x14ac:dyDescent="0.25">
      <c r="A71" s="145" t="s">
        <v>75</v>
      </c>
      <c r="B71" s="181">
        <v>625</v>
      </c>
      <c r="C71" s="76">
        <v>0</v>
      </c>
      <c r="D71" s="76">
        <f>B71-C71</f>
        <v>625</v>
      </c>
      <c r="E71" s="175">
        <f t="shared" ref="E71:E76" si="22">IF(ISERROR(D71/B71),"-",D71/B71)</f>
        <v>1</v>
      </c>
      <c r="F71" s="205"/>
      <c r="G71" s="213">
        <v>625</v>
      </c>
      <c r="H71" s="130">
        <v>0</v>
      </c>
      <c r="I71" s="130">
        <f>G71-H71</f>
        <v>625</v>
      </c>
      <c r="J71" s="220">
        <f t="shared" ref="J71:J76" si="23">IF(ISERROR(I71/G71),"-",I71/G71)</f>
        <v>1</v>
      </c>
      <c r="K71" s="205"/>
      <c r="L71" s="181"/>
      <c r="M71" s="76"/>
      <c r="N71" s="76"/>
      <c r="O71" s="175"/>
      <c r="P71" s="205"/>
      <c r="Q71" s="213"/>
      <c r="R71" s="130"/>
      <c r="S71" s="130"/>
      <c r="T71" s="220"/>
      <c r="U71" s="205"/>
      <c r="V71" s="181">
        <f t="shared" ref="V71:W73" si="24">B71+G71+L71+Q71</f>
        <v>1250</v>
      </c>
      <c r="W71" s="76">
        <f t="shared" si="24"/>
        <v>0</v>
      </c>
      <c r="X71" s="76">
        <f>V71-W71</f>
        <v>1250</v>
      </c>
      <c r="Y71" s="175">
        <f t="shared" ref="Y71:Y76" si="25">IF(ISERROR(X71/V71),"-",X71/V71)</f>
        <v>1</v>
      </c>
      <c r="Z71" s="205"/>
      <c r="AA71" s="181">
        <v>2500</v>
      </c>
      <c r="AB71" s="76">
        <f>AA71-W71</f>
        <v>2500</v>
      </c>
      <c r="AC71" s="175">
        <f t="shared" ref="AC71:AC76" si="26">IF(ISERROR(AB71/AA71),"-",AB71/AA71)</f>
        <v>1</v>
      </c>
      <c r="AD71" s="163"/>
      <c r="AE71" s="78"/>
    </row>
    <row r="72" spans="1:31" ht="15.75" x14ac:dyDescent="0.25">
      <c r="A72" s="145" t="s">
        <v>76</v>
      </c>
      <c r="B72" s="181">
        <v>0</v>
      </c>
      <c r="C72" s="76">
        <v>0</v>
      </c>
      <c r="D72" s="76">
        <f>B72-C72</f>
        <v>0</v>
      </c>
      <c r="E72" s="175" t="str">
        <f t="shared" si="22"/>
        <v>-</v>
      </c>
      <c r="F72" s="207"/>
      <c r="G72" s="213">
        <v>0</v>
      </c>
      <c r="H72" s="130">
        <v>0</v>
      </c>
      <c r="I72" s="130">
        <f>G72-H72</f>
        <v>0</v>
      </c>
      <c r="J72" s="220" t="str">
        <f t="shared" si="23"/>
        <v>-</v>
      </c>
      <c r="K72" s="207"/>
      <c r="L72" s="181"/>
      <c r="M72" s="76"/>
      <c r="N72" s="76"/>
      <c r="O72" s="175"/>
      <c r="P72" s="207"/>
      <c r="Q72" s="213"/>
      <c r="R72" s="130"/>
      <c r="S72" s="130"/>
      <c r="T72" s="220"/>
      <c r="U72" s="207"/>
      <c r="V72" s="181">
        <f t="shared" si="24"/>
        <v>0</v>
      </c>
      <c r="W72" s="76">
        <f t="shared" si="24"/>
        <v>0</v>
      </c>
      <c r="X72" s="76">
        <f>V72-W72</f>
        <v>0</v>
      </c>
      <c r="Y72" s="175" t="str">
        <f t="shared" si="25"/>
        <v>-</v>
      </c>
      <c r="Z72" s="207"/>
      <c r="AA72" s="181">
        <v>0</v>
      </c>
      <c r="AB72" s="76">
        <f>AA72-W72</f>
        <v>0</v>
      </c>
      <c r="AC72" s="175" t="str">
        <f t="shared" si="26"/>
        <v>-</v>
      </c>
      <c r="AD72" s="165"/>
      <c r="AE72" s="78"/>
    </row>
    <row r="73" spans="1:31" ht="15.75" x14ac:dyDescent="0.25">
      <c r="A73" s="145" t="s">
        <v>77</v>
      </c>
      <c r="B73" s="181">
        <v>2000</v>
      </c>
      <c r="C73" s="76">
        <v>1114</v>
      </c>
      <c r="D73" s="76">
        <f>B73-C73</f>
        <v>886</v>
      </c>
      <c r="E73" s="175">
        <f t="shared" si="22"/>
        <v>0.443</v>
      </c>
      <c r="F73" s="205"/>
      <c r="G73" s="213">
        <v>2000</v>
      </c>
      <c r="H73" s="130">
        <v>2189</v>
      </c>
      <c r="I73" s="130">
        <f>G73-H73</f>
        <v>-189</v>
      </c>
      <c r="J73" s="220">
        <f t="shared" si="23"/>
        <v>-9.4500000000000001E-2</v>
      </c>
      <c r="K73" s="205"/>
      <c r="L73" s="181"/>
      <c r="M73" s="76"/>
      <c r="N73" s="76"/>
      <c r="O73" s="175"/>
      <c r="P73" s="205"/>
      <c r="Q73" s="213"/>
      <c r="R73" s="130"/>
      <c r="S73" s="130"/>
      <c r="T73" s="220"/>
      <c r="U73" s="205"/>
      <c r="V73" s="181">
        <f t="shared" si="24"/>
        <v>4000</v>
      </c>
      <c r="W73" s="76">
        <f t="shared" si="24"/>
        <v>3303</v>
      </c>
      <c r="X73" s="76">
        <f>V73-W73</f>
        <v>697</v>
      </c>
      <c r="Y73" s="175">
        <f t="shared" si="25"/>
        <v>0.17424999999999999</v>
      </c>
      <c r="Z73" s="205"/>
      <c r="AA73" s="181">
        <v>8000</v>
      </c>
      <c r="AB73" s="76">
        <f>AA73-W73</f>
        <v>4697</v>
      </c>
      <c r="AC73" s="175">
        <f t="shared" si="26"/>
        <v>0.58712500000000001</v>
      </c>
      <c r="AD73" s="163"/>
      <c r="AE73" s="78"/>
    </row>
    <row r="74" spans="1:31" ht="15.75" x14ac:dyDescent="0.25">
      <c r="A74" s="145" t="s">
        <v>216</v>
      </c>
      <c r="B74" s="181"/>
      <c r="C74" s="76"/>
      <c r="D74" s="76">
        <f>B74-C74</f>
        <v>0</v>
      </c>
      <c r="E74" s="175" t="str">
        <f t="shared" si="22"/>
        <v>-</v>
      </c>
      <c r="F74" s="205"/>
      <c r="G74" s="213"/>
      <c r="H74" s="130"/>
      <c r="I74" s="130">
        <f>G74-H74</f>
        <v>0</v>
      </c>
      <c r="J74" s="220" t="str">
        <f t="shared" si="23"/>
        <v>-</v>
      </c>
      <c r="K74" s="205"/>
      <c r="L74" s="181"/>
      <c r="M74" s="76"/>
      <c r="N74" s="76"/>
      <c r="O74" s="175"/>
      <c r="P74" s="205"/>
      <c r="Q74" s="213"/>
      <c r="R74" s="130"/>
      <c r="S74" s="130"/>
      <c r="T74" s="220"/>
      <c r="U74" s="205"/>
      <c r="V74" s="181"/>
      <c r="W74" s="76"/>
      <c r="X74" s="76">
        <f>V74-W74</f>
        <v>0</v>
      </c>
      <c r="Y74" s="175" t="str">
        <f t="shared" si="25"/>
        <v>-</v>
      </c>
      <c r="Z74" s="205"/>
      <c r="AA74" s="181"/>
      <c r="AB74" s="76">
        <f>AA74-W74</f>
        <v>0</v>
      </c>
      <c r="AC74" s="175" t="str">
        <f t="shared" si="26"/>
        <v>-</v>
      </c>
      <c r="AD74" s="163"/>
      <c r="AE74" s="78"/>
    </row>
    <row r="75" spans="1:31" ht="15.75" x14ac:dyDescent="0.25">
      <c r="A75" s="64"/>
      <c r="B75" s="181">
        <v>0</v>
      </c>
      <c r="C75" s="76">
        <v>0</v>
      </c>
      <c r="D75" s="76">
        <f>B75-C75</f>
        <v>0</v>
      </c>
      <c r="E75" s="175" t="str">
        <f t="shared" si="22"/>
        <v>-</v>
      </c>
      <c r="F75" s="207"/>
      <c r="G75" s="213">
        <v>0</v>
      </c>
      <c r="H75" s="130">
        <v>0</v>
      </c>
      <c r="I75" s="130">
        <f>G75-H75</f>
        <v>0</v>
      </c>
      <c r="J75" s="220" t="str">
        <f t="shared" si="23"/>
        <v>-</v>
      </c>
      <c r="K75" s="207"/>
      <c r="L75" s="181"/>
      <c r="M75" s="76"/>
      <c r="N75" s="76"/>
      <c r="O75" s="175"/>
      <c r="P75" s="207"/>
      <c r="Q75" s="213"/>
      <c r="R75" s="130"/>
      <c r="S75" s="130"/>
      <c r="T75" s="220"/>
      <c r="U75" s="205"/>
      <c r="V75" s="181">
        <f>B75+G75+L75+Q75</f>
        <v>0</v>
      </c>
      <c r="W75" s="76">
        <f>C75+H75+M75+R75</f>
        <v>0</v>
      </c>
      <c r="X75" s="76">
        <f>V75-W75</f>
        <v>0</v>
      </c>
      <c r="Y75" s="176" t="str">
        <f t="shared" si="25"/>
        <v>-</v>
      </c>
      <c r="Z75" s="205"/>
      <c r="AA75" s="181">
        <v>0</v>
      </c>
      <c r="AB75" s="76">
        <f>AA75-W75</f>
        <v>0</v>
      </c>
      <c r="AC75" s="176" t="str">
        <f t="shared" si="26"/>
        <v>-</v>
      </c>
      <c r="AD75" s="163"/>
      <c r="AE75" s="77"/>
    </row>
    <row r="76" spans="1:31" ht="15.75" x14ac:dyDescent="0.25">
      <c r="A76" s="146" t="s">
        <v>79</v>
      </c>
      <c r="B76" s="177">
        <f>SUM(B42:B75)</f>
        <v>39175</v>
      </c>
      <c r="C76" s="110">
        <f>SUM(C42:C75)</f>
        <v>22309</v>
      </c>
      <c r="D76" s="110">
        <f>SUM(D42:D75)</f>
        <v>16866</v>
      </c>
      <c r="E76" s="178">
        <f t="shared" si="22"/>
        <v>0.43052967453733249</v>
      </c>
      <c r="F76" s="206"/>
      <c r="G76" s="177">
        <f>SUM(G42:G75)</f>
        <v>37975</v>
      </c>
      <c r="H76" s="110">
        <f>SUM(H42:H75)</f>
        <v>22645</v>
      </c>
      <c r="I76" s="110">
        <f>SUM(I42:I75)</f>
        <v>15330</v>
      </c>
      <c r="J76" s="178">
        <f t="shared" si="23"/>
        <v>0.40368663594470044</v>
      </c>
      <c r="K76" s="206"/>
      <c r="L76" s="177"/>
      <c r="M76" s="110"/>
      <c r="N76" s="110"/>
      <c r="O76" s="178"/>
      <c r="P76" s="206"/>
      <c r="Q76" s="177"/>
      <c r="R76" s="110"/>
      <c r="S76" s="110"/>
      <c r="T76" s="178"/>
      <c r="U76" s="206"/>
      <c r="V76" s="177">
        <f>SUM(V42:V75)</f>
        <v>77150</v>
      </c>
      <c r="W76" s="110">
        <f>SUM(W42:W75)</f>
        <v>44954</v>
      </c>
      <c r="X76" s="110">
        <f>SUM(X42:X75)</f>
        <v>32196</v>
      </c>
      <c r="Y76" s="178">
        <f t="shared" si="25"/>
        <v>0.41731691510045366</v>
      </c>
      <c r="Z76" s="206"/>
      <c r="AA76" s="177">
        <f>SUM(AA42:AA75)</f>
        <v>172400</v>
      </c>
      <c r="AB76" s="110">
        <f>SUM(AB42:AB75)</f>
        <v>127446</v>
      </c>
      <c r="AC76" s="178">
        <f t="shared" si="26"/>
        <v>0.73924593967517405</v>
      </c>
      <c r="AD76" s="164"/>
      <c r="AE76" s="80"/>
    </row>
    <row r="77" spans="1:31" ht="15.75" x14ac:dyDescent="0.25">
      <c r="A77" s="154"/>
      <c r="B77" s="191"/>
      <c r="C77" s="91"/>
      <c r="D77" s="91"/>
      <c r="E77" s="192"/>
      <c r="F77" s="203"/>
      <c r="G77" s="228"/>
      <c r="H77" s="136"/>
      <c r="I77" s="136"/>
      <c r="J77" s="229"/>
      <c r="K77" s="203"/>
      <c r="L77" s="191"/>
      <c r="M77" s="91"/>
      <c r="N77" s="91"/>
      <c r="O77" s="192"/>
      <c r="P77" s="203"/>
      <c r="Q77" s="228"/>
      <c r="R77" s="136"/>
      <c r="S77" s="136"/>
      <c r="T77" s="238"/>
      <c r="U77" s="203"/>
      <c r="V77" s="241"/>
      <c r="W77" s="92"/>
      <c r="X77" s="91"/>
      <c r="Y77" s="192"/>
      <c r="Z77" s="203"/>
      <c r="AA77" s="241"/>
      <c r="AB77" s="91"/>
      <c r="AC77" s="192"/>
      <c r="AD77" s="161"/>
      <c r="AE77" s="77"/>
    </row>
    <row r="78" spans="1:31" ht="15.75" x14ac:dyDescent="0.25">
      <c r="A78" s="146" t="s">
        <v>80</v>
      </c>
      <c r="B78" s="177">
        <f>B40+B76+B77</f>
        <v>93194.75</v>
      </c>
      <c r="C78" s="110">
        <f>C40+C76+C77</f>
        <v>74331.75</v>
      </c>
      <c r="D78" s="110">
        <f>D40+D76+D77</f>
        <v>18863</v>
      </c>
      <c r="E78" s="178">
        <f>IF(ISERROR(D78/B78),"-",D78/B78)</f>
        <v>0.20240410538147266</v>
      </c>
      <c r="F78" s="207"/>
      <c r="G78" s="177">
        <f>G40+G76+G77</f>
        <v>91994.75</v>
      </c>
      <c r="H78" s="110">
        <f>H40+H76+H77</f>
        <v>76421.75</v>
      </c>
      <c r="I78" s="110">
        <f>I40+I76+I77</f>
        <v>15573</v>
      </c>
      <c r="J78" s="178">
        <f>IF(ISERROR(I78/G78),"-",I78/G78)</f>
        <v>0.16928139921028101</v>
      </c>
      <c r="K78" s="207"/>
      <c r="L78" s="177"/>
      <c r="M78" s="110"/>
      <c r="N78" s="110"/>
      <c r="O78" s="178"/>
      <c r="P78" s="207"/>
      <c r="Q78" s="177"/>
      <c r="R78" s="110"/>
      <c r="S78" s="110"/>
      <c r="T78" s="178"/>
      <c r="U78" s="207"/>
      <c r="V78" s="177">
        <f>V40+V76+V77</f>
        <v>185189.5</v>
      </c>
      <c r="W78" s="110">
        <f>W40+W76+W77</f>
        <v>150753.5</v>
      </c>
      <c r="X78" s="110">
        <f>X40+X76+X77</f>
        <v>34436</v>
      </c>
      <c r="Y78" s="178">
        <f>IF(ISERROR(X78/V78),"-",X78/V78)</f>
        <v>0.18595006736343042</v>
      </c>
      <c r="Z78" s="207"/>
      <c r="AA78" s="177">
        <f>AA40+AA76+AA77</f>
        <v>389479</v>
      </c>
      <c r="AB78" s="110">
        <f>AB40+AB76+AB77</f>
        <v>238725.5</v>
      </c>
      <c r="AC78" s="178">
        <f>IF(ISERROR(AB78/AA78),"-",AB78/AA78)</f>
        <v>0.61293548561026401</v>
      </c>
      <c r="AD78" s="165"/>
      <c r="AE78" s="80"/>
    </row>
    <row r="79" spans="1:31" ht="15.75" x14ac:dyDescent="0.25">
      <c r="A79" s="155"/>
      <c r="B79" s="191"/>
      <c r="C79" s="91"/>
      <c r="D79" s="91"/>
      <c r="E79" s="192"/>
      <c r="F79" s="203"/>
      <c r="G79" s="228"/>
      <c r="H79" s="136"/>
      <c r="I79" s="136"/>
      <c r="J79" s="229"/>
      <c r="K79" s="203"/>
      <c r="L79" s="191"/>
      <c r="M79" s="91"/>
      <c r="N79" s="91"/>
      <c r="O79" s="192"/>
      <c r="P79" s="203"/>
      <c r="Q79" s="228"/>
      <c r="R79" s="136"/>
      <c r="S79" s="136"/>
      <c r="T79" s="229"/>
      <c r="U79" s="203"/>
      <c r="V79" s="241"/>
      <c r="W79" s="92"/>
      <c r="X79" s="91"/>
      <c r="Y79" s="192"/>
      <c r="Z79" s="203"/>
      <c r="AA79" s="241"/>
      <c r="AB79" s="91"/>
      <c r="AC79" s="192"/>
      <c r="AD79" s="161"/>
      <c r="AE79" s="77"/>
    </row>
    <row r="80" spans="1:31" ht="15.75" x14ac:dyDescent="0.25">
      <c r="A80" s="146" t="s">
        <v>81</v>
      </c>
      <c r="B80" s="177">
        <f>B27-B78</f>
        <v>20265.25</v>
      </c>
      <c r="C80" s="110">
        <f>C27-C78</f>
        <v>23441.25</v>
      </c>
      <c r="D80" s="110">
        <f>D27+D78</f>
        <v>3176</v>
      </c>
      <c r="E80" s="178">
        <f>IF(ISERROR(D80/B80),"-",D80/B80)</f>
        <v>0.15672148135354858</v>
      </c>
      <c r="F80" s="207"/>
      <c r="G80" s="177">
        <f>G27-G78</f>
        <v>-669.75</v>
      </c>
      <c r="H80" s="110">
        <f>H27-H78</f>
        <v>25829.25</v>
      </c>
      <c r="I80" s="110">
        <f>I27+I78</f>
        <v>26499</v>
      </c>
      <c r="J80" s="178">
        <f>IF(ISERROR(I80/G80),"-",I80/G80)</f>
        <v>-39.565509518477043</v>
      </c>
      <c r="K80" s="207"/>
      <c r="L80" s="177"/>
      <c r="M80" s="110"/>
      <c r="N80" s="110"/>
      <c r="O80" s="178"/>
      <c r="P80" s="207"/>
      <c r="Q80" s="177"/>
      <c r="R80" s="110"/>
      <c r="S80" s="110"/>
      <c r="T80" s="178"/>
      <c r="U80" s="207"/>
      <c r="V80" s="242">
        <f>V27-V78</f>
        <v>19595.5</v>
      </c>
      <c r="W80" s="109">
        <f>W27-W78</f>
        <v>49270.5</v>
      </c>
      <c r="X80" s="109">
        <f>X27+X78</f>
        <v>29675</v>
      </c>
      <c r="Y80" s="243">
        <f>IF(ISERROR(X80/V80),"-",X80/V80)</f>
        <v>1.514378301140568</v>
      </c>
      <c r="Z80" s="207"/>
      <c r="AA80" s="177">
        <f>AA27-AA78</f>
        <v>17778</v>
      </c>
      <c r="AB80" s="110">
        <f>AB27-AB78</f>
        <v>-31492.5</v>
      </c>
      <c r="AC80" s="178">
        <f>IF(ISERROR(AB80/AA80),"-",AB80/AA80)</f>
        <v>-1.7714309821127237</v>
      </c>
      <c r="AD80" s="165"/>
      <c r="AE80" s="80"/>
    </row>
    <row r="81" spans="1:31" ht="15.75" x14ac:dyDescent="0.25">
      <c r="A81" s="156"/>
      <c r="B81" s="193"/>
      <c r="C81" s="93"/>
      <c r="D81" s="94"/>
      <c r="E81" s="194"/>
      <c r="F81" s="111"/>
      <c r="G81" s="230"/>
      <c r="H81" s="137"/>
      <c r="I81" s="138"/>
      <c r="J81" s="231"/>
      <c r="K81" s="111"/>
      <c r="L81" s="193"/>
      <c r="M81" s="93"/>
      <c r="N81" s="94"/>
      <c r="O81" s="194"/>
      <c r="P81" s="111"/>
      <c r="Q81" s="230"/>
      <c r="R81" s="137"/>
      <c r="S81" s="138"/>
      <c r="T81" s="231"/>
      <c r="U81" s="111"/>
      <c r="V81" s="179"/>
      <c r="W81" s="81"/>
      <c r="X81" s="94"/>
      <c r="Y81" s="194"/>
      <c r="Z81" s="111"/>
      <c r="AA81" s="179"/>
      <c r="AB81" s="94"/>
      <c r="AC81" s="194"/>
      <c r="AD81" s="166"/>
      <c r="AE81" s="77"/>
    </row>
    <row r="82" spans="1:31" ht="15.75" x14ac:dyDescent="0.25">
      <c r="A82" s="148" t="s">
        <v>82</v>
      </c>
      <c r="B82" s="181"/>
      <c r="C82" s="76"/>
      <c r="D82" s="76">
        <f>B82-C82</f>
        <v>0</v>
      </c>
      <c r="E82" s="176" t="str">
        <f>IF(ISERROR(D82/B82),"-",D82/B82)</f>
        <v>-</v>
      </c>
      <c r="F82" s="207"/>
      <c r="G82" s="213"/>
      <c r="H82" s="130"/>
      <c r="I82" s="130">
        <f>G82-H82</f>
        <v>0</v>
      </c>
      <c r="J82" s="214" t="str">
        <f>IF(ISERROR(I82/G82),"-",I82/G82)</f>
        <v>-</v>
      </c>
      <c r="K82" s="207"/>
      <c r="L82" s="181"/>
      <c r="M82" s="76"/>
      <c r="N82" s="76"/>
      <c r="O82" s="176"/>
      <c r="P82" s="207"/>
      <c r="Q82" s="213"/>
      <c r="R82" s="130"/>
      <c r="S82" s="130"/>
      <c r="T82" s="214"/>
      <c r="U82" s="207"/>
      <c r="V82" s="181">
        <f>B82+G82+L82+Q82</f>
        <v>0</v>
      </c>
      <c r="W82" s="76">
        <f>C82+H82+M82+R82</f>
        <v>0</v>
      </c>
      <c r="X82" s="76">
        <f>V82-W82</f>
        <v>0</v>
      </c>
      <c r="Y82" s="176" t="str">
        <f>IF(ISERROR(X82/V82),"-",X82/V82)</f>
        <v>-</v>
      </c>
      <c r="Z82" s="207"/>
      <c r="AA82" s="181">
        <f>G82+L82+Q82+V82</f>
        <v>0</v>
      </c>
      <c r="AB82" s="76">
        <f>AA82-W82</f>
        <v>0</v>
      </c>
      <c r="AC82" s="176" t="str">
        <f>IF(ISERROR(AB82/AA82),"-",AB82/AA82)</f>
        <v>-</v>
      </c>
      <c r="AD82" s="165"/>
      <c r="AE82" s="77"/>
    </row>
    <row r="83" spans="1:31" ht="15.75" x14ac:dyDescent="0.25">
      <c r="A83" s="149"/>
      <c r="B83" s="195"/>
      <c r="C83" s="95"/>
      <c r="D83" s="95"/>
      <c r="E83" s="196"/>
      <c r="F83" s="111"/>
      <c r="G83" s="232"/>
      <c r="H83" s="139"/>
      <c r="I83" s="139"/>
      <c r="J83" s="233"/>
      <c r="K83" s="111"/>
      <c r="L83" s="195"/>
      <c r="M83" s="95"/>
      <c r="N83" s="95"/>
      <c r="O83" s="196"/>
      <c r="P83" s="111"/>
      <c r="Q83" s="232"/>
      <c r="R83" s="139"/>
      <c r="S83" s="139"/>
      <c r="T83" s="233"/>
      <c r="U83" s="111"/>
      <c r="V83" s="195"/>
      <c r="W83" s="95"/>
      <c r="X83" s="95"/>
      <c r="Y83" s="196"/>
      <c r="Z83" s="111"/>
      <c r="AA83" s="195"/>
      <c r="AB83" s="95"/>
      <c r="AC83" s="196"/>
      <c r="AD83" s="166"/>
      <c r="AE83" s="77"/>
    </row>
    <row r="84" spans="1:31" ht="16.5" thickBot="1" x14ac:dyDescent="0.3">
      <c r="A84" s="157" t="s">
        <v>83</v>
      </c>
      <c r="B84" s="197">
        <f>B80-B82</f>
        <v>20265.25</v>
      </c>
      <c r="C84" s="198">
        <f>C80-C82</f>
        <v>23441.25</v>
      </c>
      <c r="D84" s="198">
        <f>D80+D82</f>
        <v>3176</v>
      </c>
      <c r="E84" s="199">
        <f>IF(ISERROR(D84/B84),"-",D84/B84)</f>
        <v>0.15672148135354858</v>
      </c>
      <c r="F84" s="208"/>
      <c r="G84" s="197">
        <f>G80-G82</f>
        <v>-669.75</v>
      </c>
      <c r="H84" s="198">
        <f>H80-H82</f>
        <v>25829.25</v>
      </c>
      <c r="I84" s="198">
        <f>I80+I82</f>
        <v>26499</v>
      </c>
      <c r="J84" s="199">
        <f>IF(ISERROR(I84/G84),"-",I84/G84)</f>
        <v>-39.565509518477043</v>
      </c>
      <c r="K84" s="208"/>
      <c r="L84" s="197"/>
      <c r="M84" s="198"/>
      <c r="N84" s="198"/>
      <c r="O84" s="199"/>
      <c r="P84" s="208"/>
      <c r="Q84" s="197"/>
      <c r="R84" s="198"/>
      <c r="S84" s="198"/>
      <c r="T84" s="199"/>
      <c r="U84" s="208"/>
      <c r="V84" s="244">
        <f>V80-V82</f>
        <v>19595.5</v>
      </c>
      <c r="W84" s="245">
        <f>W80-W82</f>
        <v>49270.5</v>
      </c>
      <c r="X84" s="245">
        <f>X80+X82</f>
        <v>29675</v>
      </c>
      <c r="Y84" s="246">
        <f>IF(ISERROR(X84/V84),"-",X84/V84)</f>
        <v>1.514378301140568</v>
      </c>
      <c r="Z84" s="208"/>
      <c r="AA84" s="244">
        <f>AA80-AA82</f>
        <v>17778</v>
      </c>
      <c r="AB84" s="245">
        <f>AA84-W84</f>
        <v>-31492.5</v>
      </c>
      <c r="AC84" s="246">
        <f>IF(ISERROR(AB84/AA84),"-",AB84/AA84)</f>
        <v>-1.7714309821127237</v>
      </c>
      <c r="AD84" s="167"/>
      <c r="AE84" s="96"/>
    </row>
  </sheetData>
  <mergeCells count="19">
    <mergeCell ref="A7:H7"/>
    <mergeCell ref="A1:H1"/>
    <mergeCell ref="A3:H3"/>
    <mergeCell ref="A4:H4"/>
    <mergeCell ref="A5:H5"/>
    <mergeCell ref="A6:H6"/>
    <mergeCell ref="AE9:AE11"/>
    <mergeCell ref="D10:E10"/>
    <mergeCell ref="I10:J10"/>
    <mergeCell ref="N10:O10"/>
    <mergeCell ref="S10:T10"/>
    <mergeCell ref="X10:Y10"/>
    <mergeCell ref="AB10:AC10"/>
    <mergeCell ref="B9:E9"/>
    <mergeCell ref="G9:J9"/>
    <mergeCell ref="L9:O9"/>
    <mergeCell ref="Q9:T9"/>
    <mergeCell ref="V9:Y9"/>
    <mergeCell ref="AA9:AC9"/>
  </mergeCells>
  <conditionalFormatting sqref="E53">
    <cfRule type="cellIs" dxfId="1" priority="1" stopIfTrue="1" operator="equal">
      <formula>""""""</formula>
    </cfRule>
  </conditionalFormatting>
  <pageMargins left="0.7" right="0.7" top="0.75" bottom="0.75" header="0.3" footer="0.3"/>
  <pageSetup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W79"/>
  <sheetViews>
    <sheetView topLeftCell="A7" zoomScale="80" zoomScaleNormal="80" workbookViewId="0">
      <selection activeCell="I5" sqref="I5"/>
    </sheetView>
  </sheetViews>
  <sheetFormatPr defaultColWidth="8.85546875" defaultRowHeight="15.75" customHeight="1" x14ac:dyDescent="0.25"/>
  <cols>
    <col min="1" max="1" width="64.42578125" style="8" customWidth="1"/>
    <col min="2" max="2" width="16.42578125" style="8" customWidth="1"/>
    <col min="3" max="3" width="16.85546875" style="8" customWidth="1"/>
    <col min="4" max="4" width="18.140625" style="8" customWidth="1"/>
    <col min="5" max="5" width="17" style="8" customWidth="1"/>
    <col min="6" max="6" width="17.42578125" style="8" customWidth="1"/>
    <col min="7" max="231" width="8.85546875" style="8" customWidth="1"/>
    <col min="232" max="16384" width="8.85546875" style="2"/>
  </cols>
  <sheetData>
    <row r="1" spans="1:231" ht="18.75" customHeight="1" x14ac:dyDescent="0.25">
      <c r="A1" s="862" t="s">
        <v>0</v>
      </c>
      <c r="B1" s="879"/>
      <c r="C1" s="879"/>
      <c r="D1" s="879"/>
      <c r="E1" s="879"/>
      <c r="F1" s="879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</row>
    <row r="2" spans="1:231" ht="18.75" customHeight="1" x14ac:dyDescent="0.25">
      <c r="A2" s="3"/>
      <c r="B2" s="4"/>
      <c r="C2" s="4"/>
      <c r="D2" s="4"/>
      <c r="E2" s="4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</row>
    <row r="3" spans="1:231" s="9" customFormat="1" ht="18.75" customHeight="1" x14ac:dyDescent="0.3">
      <c r="A3" s="858" t="s">
        <v>214</v>
      </c>
      <c r="B3" s="859"/>
      <c r="C3" s="859"/>
      <c r="D3" s="859"/>
      <c r="E3" s="859"/>
      <c r="F3" s="859"/>
    </row>
    <row r="4" spans="1:231" ht="18.75" customHeight="1" x14ac:dyDescent="0.3">
      <c r="A4" s="880" t="s">
        <v>84</v>
      </c>
      <c r="B4" s="860"/>
      <c r="C4" s="860"/>
      <c r="D4" s="860"/>
      <c r="E4" s="860"/>
      <c r="F4" s="86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</row>
    <row r="5" spans="1:231" ht="18.75" customHeight="1" x14ac:dyDescent="0.3">
      <c r="A5" s="880" t="s">
        <v>85</v>
      </c>
      <c r="B5" s="881"/>
      <c r="C5" s="881"/>
      <c r="D5" s="881"/>
      <c r="E5" s="881"/>
      <c r="F5" s="88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</row>
    <row r="6" spans="1:231" ht="18.75" customHeight="1" x14ac:dyDescent="0.3">
      <c r="A6" s="858" t="s">
        <v>87</v>
      </c>
      <c r="B6" s="882"/>
      <c r="C6" s="882"/>
      <c r="D6" s="882"/>
      <c r="E6" s="882"/>
      <c r="F6" s="88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</row>
    <row r="7" spans="1:231" ht="18.75" customHeight="1" x14ac:dyDescent="0.3">
      <c r="A7" s="858" t="s">
        <v>5</v>
      </c>
      <c r="B7" s="859"/>
      <c r="C7" s="859"/>
      <c r="D7" s="859"/>
      <c r="E7" s="859"/>
      <c r="F7" s="859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</row>
    <row r="8" spans="1:231" ht="16.5" customHeight="1" thickBot="1" x14ac:dyDescent="0.3">
      <c r="A8" s="6"/>
      <c r="B8" s="34"/>
      <c r="C8" s="7"/>
      <c r="D8" s="34"/>
      <c r="E8" s="7"/>
      <c r="F8" s="3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</row>
    <row r="9" spans="1:231" ht="17.45" customHeight="1" x14ac:dyDescent="0.25">
      <c r="A9" s="17"/>
      <c r="B9" s="35" t="s">
        <v>162</v>
      </c>
      <c r="C9" s="49" t="s">
        <v>163</v>
      </c>
      <c r="D9" s="35" t="s">
        <v>98</v>
      </c>
      <c r="E9" s="49" t="s">
        <v>164</v>
      </c>
      <c r="F9" s="35" t="s">
        <v>165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</row>
    <row r="10" spans="1:231" ht="15" customHeight="1" x14ac:dyDescent="0.25">
      <c r="A10" s="18"/>
      <c r="B10" s="36">
        <v>43831</v>
      </c>
      <c r="C10" s="50">
        <v>43921</v>
      </c>
      <c r="D10" s="36">
        <v>44012</v>
      </c>
      <c r="E10" s="50">
        <v>44104</v>
      </c>
      <c r="F10" s="61">
        <v>44196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</row>
    <row r="11" spans="1:231" ht="15" customHeight="1" thickBot="1" x14ac:dyDescent="0.3">
      <c r="A11" s="19"/>
      <c r="B11" s="37" t="s">
        <v>19</v>
      </c>
      <c r="C11" s="51" t="s">
        <v>19</v>
      </c>
      <c r="D11" s="37" t="s">
        <v>19</v>
      </c>
      <c r="E11" s="51" t="s">
        <v>19</v>
      </c>
      <c r="F11" s="37" t="s">
        <v>19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</row>
    <row r="12" spans="1:231" ht="15" customHeight="1" x14ac:dyDescent="0.25">
      <c r="A12" s="20" t="s">
        <v>99</v>
      </c>
      <c r="B12" s="38"/>
      <c r="C12" s="52"/>
      <c r="D12" s="38"/>
      <c r="E12" s="52"/>
      <c r="F12" s="38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</row>
    <row r="13" spans="1:231" ht="15" customHeight="1" x14ac:dyDescent="0.25">
      <c r="A13" s="21" t="s">
        <v>100</v>
      </c>
      <c r="B13" s="39"/>
      <c r="C13" s="12"/>
      <c r="D13" s="39"/>
      <c r="E13" s="12"/>
      <c r="F13" s="39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</row>
    <row r="14" spans="1:231" ht="15" customHeight="1" x14ac:dyDescent="0.25">
      <c r="A14" s="10" t="s">
        <v>101</v>
      </c>
      <c r="B14" s="39">
        <v>231005.27</v>
      </c>
      <c r="C14" s="12">
        <v>239263.07</v>
      </c>
      <c r="D14" s="39">
        <v>250371.5</v>
      </c>
      <c r="E14" s="12">
        <v>0</v>
      </c>
      <c r="F14" s="39"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</row>
    <row r="15" spans="1:231" ht="15" customHeight="1" x14ac:dyDescent="0.25">
      <c r="A15" s="11" t="s">
        <v>102</v>
      </c>
      <c r="B15" s="39">
        <v>0</v>
      </c>
      <c r="C15" s="12">
        <v>0</v>
      </c>
      <c r="D15" s="39">
        <v>0</v>
      </c>
      <c r="E15" s="12">
        <v>0</v>
      </c>
      <c r="F15" s="39"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</row>
    <row r="16" spans="1:231" ht="15" customHeight="1" x14ac:dyDescent="0.25">
      <c r="A16" s="11" t="s">
        <v>103</v>
      </c>
      <c r="B16" s="39">
        <v>0</v>
      </c>
      <c r="C16" s="12">
        <v>0</v>
      </c>
      <c r="D16" s="39">
        <v>0</v>
      </c>
      <c r="E16" s="12">
        <v>0</v>
      </c>
      <c r="F16" s="39"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</row>
    <row r="17" spans="1:231" ht="15" customHeight="1" x14ac:dyDescent="0.25">
      <c r="A17" s="11" t="s">
        <v>104</v>
      </c>
      <c r="B17" s="39">
        <v>0</v>
      </c>
      <c r="C17" s="12">
        <v>0</v>
      </c>
      <c r="D17" s="39">
        <v>0</v>
      </c>
      <c r="E17" s="12">
        <v>0</v>
      </c>
      <c r="F17" s="39"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</row>
    <row r="18" spans="1:231" ht="15" customHeight="1" x14ac:dyDescent="0.25">
      <c r="A18" s="11" t="s">
        <v>105</v>
      </c>
      <c r="B18" s="39">
        <v>0</v>
      </c>
      <c r="C18" s="12">
        <v>0</v>
      </c>
      <c r="D18" s="39">
        <v>0</v>
      </c>
      <c r="E18" s="12">
        <v>0</v>
      </c>
      <c r="F18" s="39"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</row>
    <row r="19" spans="1:231" ht="15" customHeight="1" x14ac:dyDescent="0.25">
      <c r="A19" s="22" t="s">
        <v>106</v>
      </c>
      <c r="B19" s="40">
        <v>0</v>
      </c>
      <c r="C19" s="53">
        <v>0</v>
      </c>
      <c r="D19" s="40">
        <v>0</v>
      </c>
      <c r="E19" s="53">
        <v>0</v>
      </c>
      <c r="F19" s="40"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</row>
    <row r="20" spans="1:231" ht="15" customHeight="1" x14ac:dyDescent="0.25">
      <c r="A20" s="23" t="s">
        <v>107</v>
      </c>
      <c r="B20" s="41">
        <f>SUM(B14:B19)</f>
        <v>231005.27</v>
      </c>
      <c r="C20" s="54">
        <f>SUM(C14:C19)</f>
        <v>239263.07</v>
      </c>
      <c r="D20" s="41">
        <f>SUM(D14:D19)</f>
        <v>250371.5</v>
      </c>
      <c r="E20" s="54">
        <f>SUM(E14:E19)</f>
        <v>0</v>
      </c>
      <c r="F20" s="41">
        <f>SUM(F14:F19)</f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</row>
    <row r="21" spans="1:231" ht="15" customHeight="1" x14ac:dyDescent="0.25">
      <c r="A21" s="24"/>
      <c r="B21" s="42"/>
      <c r="C21" s="55"/>
      <c r="D21" s="42"/>
      <c r="E21" s="55"/>
      <c r="F21" s="4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</row>
    <row r="22" spans="1:231" ht="15" customHeight="1" x14ac:dyDescent="0.25">
      <c r="A22" s="25" t="s">
        <v>108</v>
      </c>
      <c r="B22" s="39"/>
      <c r="C22" s="12"/>
      <c r="D22" s="39"/>
      <c r="E22" s="12"/>
      <c r="F22" s="39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</row>
    <row r="23" spans="1:231" ht="15" customHeight="1" x14ac:dyDescent="0.25">
      <c r="A23" s="11" t="s">
        <v>109</v>
      </c>
      <c r="B23" s="39">
        <v>104839.8</v>
      </c>
      <c r="C23" s="12">
        <v>104839.8</v>
      </c>
      <c r="D23" s="39">
        <v>104839.8</v>
      </c>
      <c r="E23" s="12">
        <v>104839.8</v>
      </c>
      <c r="F23" s="39">
        <v>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</row>
    <row r="24" spans="1:231" ht="15" customHeight="1" x14ac:dyDescent="0.25">
      <c r="A24" s="11" t="s">
        <v>110</v>
      </c>
      <c r="B24" s="39">
        <v>0</v>
      </c>
      <c r="C24" s="12">
        <v>0</v>
      </c>
      <c r="D24" s="39">
        <v>0</v>
      </c>
      <c r="E24" s="12">
        <v>0</v>
      </c>
      <c r="F24" s="39">
        <v>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</row>
    <row r="25" spans="1:231" ht="15" customHeight="1" x14ac:dyDescent="0.25">
      <c r="A25" s="11" t="s">
        <v>111</v>
      </c>
      <c r="B25" s="39">
        <v>0</v>
      </c>
      <c r="C25" s="12">
        <v>0</v>
      </c>
      <c r="D25" s="39">
        <v>0</v>
      </c>
      <c r="E25" s="12">
        <v>0</v>
      </c>
      <c r="F25" s="39"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</row>
    <row r="26" spans="1:231" ht="15" customHeight="1" x14ac:dyDescent="0.25">
      <c r="A26" s="11" t="s">
        <v>112</v>
      </c>
      <c r="B26" s="39">
        <v>54199.38</v>
      </c>
      <c r="C26" s="12">
        <v>56115.99</v>
      </c>
      <c r="D26" s="39">
        <v>56115.99</v>
      </c>
      <c r="E26" s="12">
        <v>56115.99</v>
      </c>
      <c r="F26" s="39">
        <v>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</row>
    <row r="27" spans="1:231" ht="15" customHeight="1" x14ac:dyDescent="0.25">
      <c r="A27" s="11" t="s">
        <v>217</v>
      </c>
      <c r="B27" s="39"/>
      <c r="C27" s="12"/>
      <c r="D27" s="39"/>
      <c r="E27" s="12"/>
      <c r="F27" s="39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</row>
    <row r="28" spans="1:231" ht="15" customHeight="1" x14ac:dyDescent="0.25">
      <c r="A28" s="11" t="s">
        <v>114</v>
      </c>
      <c r="B28" s="39"/>
      <c r="C28" s="12"/>
      <c r="D28" s="39"/>
      <c r="E28" s="12"/>
      <c r="F28" s="39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</row>
    <row r="29" spans="1:231" ht="15" customHeight="1" x14ac:dyDescent="0.25">
      <c r="A29" s="22" t="s">
        <v>115</v>
      </c>
      <c r="B29" s="40">
        <v>0</v>
      </c>
      <c r="C29" s="53">
        <v>0</v>
      </c>
      <c r="D29" s="40">
        <v>0</v>
      </c>
      <c r="E29" s="53">
        <v>0</v>
      </c>
      <c r="F29" s="40"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</row>
    <row r="30" spans="1:231" ht="15" customHeight="1" x14ac:dyDescent="0.25">
      <c r="A30" s="23" t="s">
        <v>116</v>
      </c>
      <c r="B30" s="41">
        <f>SUM(B23:B29)</f>
        <v>159039.18</v>
      </c>
      <c r="C30" s="54">
        <f>SUM(C23:C29)</f>
        <v>160955.79</v>
      </c>
      <c r="D30" s="41">
        <f>SUM(D23:D29)</f>
        <v>160955.79</v>
      </c>
      <c r="E30" s="54">
        <f>SUM(E23:E29)</f>
        <v>160955.79</v>
      </c>
      <c r="F30" s="41">
        <f>SUM(F23:F29)</f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</row>
    <row r="31" spans="1:231" ht="15" customHeight="1" x14ac:dyDescent="0.25">
      <c r="A31" s="24"/>
      <c r="B31" s="42"/>
      <c r="C31" s="55"/>
      <c r="D31" s="42"/>
      <c r="E31" s="55"/>
      <c r="F31" s="4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</row>
    <row r="32" spans="1:231" ht="15" customHeight="1" x14ac:dyDescent="0.25">
      <c r="A32" s="25" t="s">
        <v>117</v>
      </c>
      <c r="B32" s="43"/>
      <c r="C32" s="15"/>
      <c r="D32" s="43"/>
      <c r="E32" s="15"/>
      <c r="F32" s="4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</row>
    <row r="33" spans="1:231" ht="15" customHeight="1" x14ac:dyDescent="0.25">
      <c r="A33" s="13" t="s">
        <v>118</v>
      </c>
      <c r="B33" s="43">
        <v>0</v>
      </c>
      <c r="C33" s="15">
        <v>0</v>
      </c>
      <c r="D33" s="43">
        <v>0</v>
      </c>
      <c r="E33" s="15">
        <v>0</v>
      </c>
      <c r="F33" s="43"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</row>
    <row r="34" spans="1:231" ht="15" customHeight="1" x14ac:dyDescent="0.25">
      <c r="A34" s="13" t="s">
        <v>119</v>
      </c>
      <c r="B34" s="43">
        <v>0</v>
      </c>
      <c r="C34" s="15">
        <v>0</v>
      </c>
      <c r="D34" s="43">
        <v>0</v>
      </c>
      <c r="E34" s="15">
        <v>0</v>
      </c>
      <c r="F34" s="43">
        <v>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</row>
    <row r="35" spans="1:231" ht="15" customHeight="1" x14ac:dyDescent="0.25">
      <c r="A35" s="13" t="s">
        <v>120</v>
      </c>
      <c r="B35" s="43">
        <v>0</v>
      </c>
      <c r="C35" s="15">
        <v>0</v>
      </c>
      <c r="D35" s="43">
        <v>0</v>
      </c>
      <c r="E35" s="15">
        <v>0</v>
      </c>
      <c r="F35" s="43">
        <v>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</row>
    <row r="36" spans="1:231" ht="15" customHeight="1" x14ac:dyDescent="0.25">
      <c r="A36" s="13" t="s">
        <v>121</v>
      </c>
      <c r="B36" s="43">
        <v>1868.39</v>
      </c>
      <c r="C36" s="15">
        <v>8763.31</v>
      </c>
      <c r="D36" s="43">
        <v>8763</v>
      </c>
      <c r="E36" s="15">
        <v>8763</v>
      </c>
      <c r="F36" s="43">
        <v>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</row>
    <row r="37" spans="1:231" ht="15" customHeight="1" x14ac:dyDescent="0.25">
      <c r="A37" s="13" t="s">
        <v>122</v>
      </c>
      <c r="B37" s="43">
        <v>44041</v>
      </c>
      <c r="C37" s="15">
        <v>44041</v>
      </c>
      <c r="D37" s="43">
        <v>44041</v>
      </c>
      <c r="E37" s="15">
        <v>60961</v>
      </c>
      <c r="F37" s="43"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</row>
    <row r="38" spans="1:231" ht="15" customHeight="1" x14ac:dyDescent="0.25">
      <c r="A38" s="14" t="s">
        <v>169</v>
      </c>
      <c r="B38" s="44">
        <v>51096.69</v>
      </c>
      <c r="C38" s="56">
        <v>62477.26</v>
      </c>
      <c r="D38" s="44">
        <v>62477.26</v>
      </c>
      <c r="E38" s="56">
        <v>62477</v>
      </c>
      <c r="F38" s="44"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</row>
    <row r="39" spans="1:231" ht="15" customHeight="1" x14ac:dyDescent="0.25">
      <c r="A39" s="23" t="s">
        <v>124</v>
      </c>
      <c r="B39" s="41">
        <f>SUM(B32:B38)</f>
        <v>97006.080000000002</v>
      </c>
      <c r="C39" s="54">
        <f>SUM(C32:C38)</f>
        <v>115281.57</v>
      </c>
      <c r="D39" s="41">
        <f>SUM(D32:D38)</f>
        <v>115281.26000000001</v>
      </c>
      <c r="E39" s="54">
        <f>SUM(E32:E38)</f>
        <v>132201</v>
      </c>
      <c r="F39" s="41">
        <f>SUM(F32:F38)</f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</row>
    <row r="40" spans="1:231" ht="15" customHeight="1" x14ac:dyDescent="0.25">
      <c r="A40" s="26"/>
      <c r="B40" s="45"/>
      <c r="C40" s="57"/>
      <c r="D40" s="45"/>
      <c r="E40" s="57"/>
      <c r="F40" s="45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</row>
    <row r="41" spans="1:231" ht="15" customHeight="1" x14ac:dyDescent="0.25">
      <c r="A41" s="21" t="s">
        <v>125</v>
      </c>
      <c r="B41" s="39">
        <v>0</v>
      </c>
      <c r="C41" s="12">
        <v>0</v>
      </c>
      <c r="D41" s="39">
        <v>0</v>
      </c>
      <c r="E41" s="12">
        <v>0</v>
      </c>
      <c r="F41" s="39"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</row>
    <row r="42" spans="1:231" ht="15" customHeight="1" x14ac:dyDescent="0.25">
      <c r="A42" s="27"/>
      <c r="B42" s="44"/>
      <c r="C42" s="56"/>
      <c r="D42" s="44"/>
      <c r="E42" s="56"/>
      <c r="F42" s="4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</row>
    <row r="43" spans="1:231" ht="15" customHeight="1" x14ac:dyDescent="0.25">
      <c r="A43" s="23" t="s">
        <v>126</v>
      </c>
      <c r="B43" s="41">
        <f>B20+B30+B39+B41</f>
        <v>487050.52999999997</v>
      </c>
      <c r="C43" s="54">
        <f>C20+C30+C39+C41</f>
        <v>515500.43</v>
      </c>
      <c r="D43" s="41">
        <f>D20+D30+D39+D41</f>
        <v>526608.55000000005</v>
      </c>
      <c r="E43" s="54">
        <f>E20+E30+E39+E41</f>
        <v>293156.79000000004</v>
      </c>
      <c r="F43" s="41">
        <f>F20+F30+F39+F41</f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</row>
    <row r="44" spans="1:231" ht="15" customHeight="1" x14ac:dyDescent="0.25">
      <c r="A44" s="28"/>
      <c r="B44" s="46"/>
      <c r="C44" s="58"/>
      <c r="D44" s="46"/>
      <c r="E44" s="58"/>
      <c r="F44" s="46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</row>
    <row r="45" spans="1:231" ht="15" customHeight="1" x14ac:dyDescent="0.25">
      <c r="A45" s="21" t="s">
        <v>127</v>
      </c>
      <c r="B45" s="43"/>
      <c r="C45" s="15"/>
      <c r="D45" s="43"/>
      <c r="E45" s="15"/>
      <c r="F45" s="4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</row>
    <row r="46" spans="1:231" ht="15" customHeight="1" x14ac:dyDescent="0.25">
      <c r="A46" s="29"/>
      <c r="B46" s="43"/>
      <c r="C46" s="15"/>
      <c r="D46" s="43"/>
      <c r="E46" s="15"/>
      <c r="F46" s="4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</row>
    <row r="47" spans="1:231" ht="15" customHeight="1" x14ac:dyDescent="0.25">
      <c r="A47" s="21" t="s">
        <v>128</v>
      </c>
      <c r="B47" s="39"/>
      <c r="C47" s="12"/>
      <c r="D47" s="39"/>
      <c r="E47" s="12"/>
      <c r="F47" s="39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</row>
    <row r="48" spans="1:231" ht="15" customHeight="1" x14ac:dyDescent="0.25">
      <c r="A48" s="13" t="s">
        <v>129</v>
      </c>
      <c r="B48" s="43">
        <v>0</v>
      </c>
      <c r="C48" s="15">
        <v>0</v>
      </c>
      <c r="D48" s="43">
        <v>0</v>
      </c>
      <c r="E48" s="15">
        <v>0</v>
      </c>
      <c r="F48" s="43">
        <v>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</row>
    <row r="49" spans="1:231" ht="15" customHeight="1" x14ac:dyDescent="0.25">
      <c r="A49" s="16" t="s">
        <v>130</v>
      </c>
      <c r="B49" s="43">
        <v>0</v>
      </c>
      <c r="C49" s="15">
        <v>0</v>
      </c>
      <c r="D49" s="43">
        <v>0</v>
      </c>
      <c r="E49" s="15">
        <v>0</v>
      </c>
      <c r="F49" s="43">
        <v>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</row>
    <row r="50" spans="1:231" ht="15" customHeight="1" x14ac:dyDescent="0.25">
      <c r="A50" s="16" t="s">
        <v>131</v>
      </c>
      <c r="B50" s="43">
        <v>0</v>
      </c>
      <c r="C50" s="15">
        <v>0</v>
      </c>
      <c r="D50" s="43">
        <v>0</v>
      </c>
      <c r="E50" s="15">
        <v>0</v>
      </c>
      <c r="F50" s="43">
        <v>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</row>
    <row r="51" spans="1:231" ht="15" customHeight="1" x14ac:dyDescent="0.25">
      <c r="A51" s="16" t="s">
        <v>132</v>
      </c>
      <c r="B51" s="43">
        <v>0</v>
      </c>
      <c r="C51" s="15">
        <v>0</v>
      </c>
      <c r="D51" s="43">
        <v>0</v>
      </c>
      <c r="E51" s="15">
        <v>0</v>
      </c>
      <c r="F51" s="43">
        <v>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</row>
    <row r="52" spans="1:231" ht="15" customHeight="1" x14ac:dyDescent="0.25">
      <c r="A52" s="16" t="s">
        <v>133</v>
      </c>
      <c r="B52" s="43">
        <v>0</v>
      </c>
      <c r="C52" s="15">
        <v>0</v>
      </c>
      <c r="D52" s="43">
        <v>0</v>
      </c>
      <c r="E52" s="15">
        <v>0</v>
      </c>
      <c r="F52" s="43">
        <v>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</row>
    <row r="53" spans="1:231" ht="15" customHeight="1" x14ac:dyDescent="0.25">
      <c r="A53" s="16" t="s">
        <v>134</v>
      </c>
      <c r="B53" s="43">
        <v>0</v>
      </c>
      <c r="C53" s="15">
        <v>0</v>
      </c>
      <c r="D53" s="43">
        <v>0</v>
      </c>
      <c r="E53" s="15">
        <v>0</v>
      </c>
      <c r="F53" s="43">
        <v>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</row>
    <row r="54" spans="1:231" ht="15" customHeight="1" x14ac:dyDescent="0.25">
      <c r="A54" s="13" t="s">
        <v>135</v>
      </c>
      <c r="B54" s="43">
        <v>0</v>
      </c>
      <c r="C54" s="15">
        <v>0</v>
      </c>
      <c r="D54" s="43">
        <v>0</v>
      </c>
      <c r="E54" s="15">
        <v>0</v>
      </c>
      <c r="F54" s="43">
        <v>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</row>
    <row r="55" spans="1:231" ht="15" customHeight="1" x14ac:dyDescent="0.25">
      <c r="A55" s="13" t="s">
        <v>136</v>
      </c>
      <c r="B55" s="43">
        <v>0</v>
      </c>
      <c r="C55" s="15">
        <v>0</v>
      </c>
      <c r="D55" s="43">
        <v>0</v>
      </c>
      <c r="E55" s="15">
        <v>0</v>
      </c>
      <c r="F55" s="43">
        <v>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</row>
    <row r="56" spans="1:231" ht="15" customHeight="1" x14ac:dyDescent="0.25">
      <c r="A56" s="14" t="s">
        <v>137</v>
      </c>
      <c r="B56" s="44">
        <v>0</v>
      </c>
      <c r="C56" s="56">
        <v>0</v>
      </c>
      <c r="D56" s="44">
        <v>0</v>
      </c>
      <c r="E56" s="56">
        <v>0</v>
      </c>
      <c r="F56" s="44">
        <v>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</row>
    <row r="57" spans="1:231" ht="15" customHeight="1" x14ac:dyDescent="0.25">
      <c r="A57" s="23" t="s">
        <v>138</v>
      </c>
      <c r="B57" s="41">
        <f>SUM(B48:B56)</f>
        <v>0</v>
      </c>
      <c r="C57" s="54">
        <f>SUM(C48:C56)</f>
        <v>0</v>
      </c>
      <c r="D57" s="41">
        <f>SUM(D48:D56)</f>
        <v>0</v>
      </c>
      <c r="E57" s="54">
        <f>SUM(E48:E56)</f>
        <v>0</v>
      </c>
      <c r="F57" s="41">
        <f>SUM(F48:F56)</f>
        <v>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</row>
    <row r="58" spans="1:231" ht="15" customHeight="1" x14ac:dyDescent="0.25">
      <c r="A58" s="30"/>
      <c r="B58" s="42"/>
      <c r="C58" s="55"/>
      <c r="D58" s="42"/>
      <c r="E58" s="55"/>
      <c r="F58" s="4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</row>
    <row r="59" spans="1:231" ht="15" customHeight="1" x14ac:dyDescent="0.25">
      <c r="A59" s="21" t="s">
        <v>139</v>
      </c>
      <c r="B59" s="43"/>
      <c r="C59" s="15"/>
      <c r="D59" s="43"/>
      <c r="E59" s="15"/>
      <c r="F59" s="4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</row>
    <row r="60" spans="1:231" ht="15" customHeight="1" x14ac:dyDescent="0.25">
      <c r="A60" s="13" t="s">
        <v>170</v>
      </c>
      <c r="B60" s="43">
        <v>0</v>
      </c>
      <c r="C60" s="15">
        <v>0</v>
      </c>
      <c r="D60" s="43">
        <v>0</v>
      </c>
      <c r="E60" s="15">
        <v>0</v>
      </c>
      <c r="F60" s="43">
        <v>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</row>
    <row r="61" spans="1:231" ht="15" customHeight="1" x14ac:dyDescent="0.25">
      <c r="A61" s="13" t="s">
        <v>44</v>
      </c>
      <c r="B61" s="43">
        <v>0</v>
      </c>
      <c r="C61" s="15">
        <v>0</v>
      </c>
      <c r="D61" s="43">
        <v>0</v>
      </c>
      <c r="E61" s="15"/>
      <c r="F61" s="4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</row>
    <row r="62" spans="1:231" ht="15" customHeight="1" x14ac:dyDescent="0.25">
      <c r="A62" s="31"/>
      <c r="B62" s="44"/>
      <c r="C62" s="56"/>
      <c r="D62" s="44"/>
      <c r="E62" s="56"/>
      <c r="F62" s="4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</row>
    <row r="63" spans="1:231" ht="15" customHeight="1" x14ac:dyDescent="0.25">
      <c r="A63" s="23" t="s">
        <v>142</v>
      </c>
      <c r="B63" s="41">
        <f>SUM(B60:B62)</f>
        <v>0</v>
      </c>
      <c r="C63" s="54">
        <f>SUM(C60:C62)</f>
        <v>0</v>
      </c>
      <c r="D63" s="41">
        <f>SUM(D60:D62)</f>
        <v>0</v>
      </c>
      <c r="E63" s="54">
        <f>SUM(E60:E62)</f>
        <v>0</v>
      </c>
      <c r="F63" s="41">
        <f>SUM(F60:F62)</f>
        <v>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</row>
    <row r="64" spans="1:231" ht="15" customHeight="1" x14ac:dyDescent="0.25">
      <c r="A64" s="30"/>
      <c r="B64" s="42"/>
      <c r="C64" s="55"/>
      <c r="D64" s="42"/>
      <c r="E64" s="55"/>
      <c r="F64" s="4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</row>
    <row r="65" spans="1:231" ht="15" customHeight="1" x14ac:dyDescent="0.25">
      <c r="A65" s="21" t="s">
        <v>143</v>
      </c>
      <c r="B65" s="43"/>
      <c r="C65" s="15"/>
      <c r="D65" s="43"/>
      <c r="E65" s="15"/>
      <c r="F65" s="4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</row>
    <row r="66" spans="1:231" ht="15" customHeight="1" x14ac:dyDescent="0.25">
      <c r="A66" s="13" t="s">
        <v>144</v>
      </c>
      <c r="B66" s="43">
        <v>0</v>
      </c>
      <c r="C66" s="15">
        <v>0</v>
      </c>
      <c r="D66" s="43">
        <v>0</v>
      </c>
      <c r="E66" s="15">
        <v>0</v>
      </c>
      <c r="F66" s="43">
        <v>0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</row>
    <row r="67" spans="1:231" ht="15" customHeight="1" x14ac:dyDescent="0.25">
      <c r="A67" s="13" t="s">
        <v>145</v>
      </c>
      <c r="B67" s="43">
        <v>0</v>
      </c>
      <c r="C67" s="15">
        <v>0</v>
      </c>
      <c r="D67" s="43">
        <v>0</v>
      </c>
      <c r="E67" s="15">
        <v>0</v>
      </c>
      <c r="F67" s="43">
        <v>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</row>
    <row r="68" spans="1:231" ht="15" customHeight="1" x14ac:dyDescent="0.25">
      <c r="A68" s="13" t="s">
        <v>146</v>
      </c>
      <c r="B68" s="43">
        <v>0</v>
      </c>
      <c r="C68" s="15">
        <v>0</v>
      </c>
      <c r="D68" s="43">
        <v>0</v>
      </c>
      <c r="E68" s="15">
        <v>0</v>
      </c>
      <c r="F68" s="43">
        <v>0</v>
      </c>
      <c r="G68" s="2"/>
      <c r="H68" s="746"/>
      <c r="I68" s="746"/>
      <c r="J68" s="746"/>
      <c r="K68" s="746"/>
      <c r="L68" s="746"/>
      <c r="M68" s="746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</row>
    <row r="69" spans="1:231" ht="15" customHeight="1" x14ac:dyDescent="0.25">
      <c r="A69" s="14" t="s">
        <v>147</v>
      </c>
      <c r="B69" s="44">
        <v>132829.71</v>
      </c>
      <c r="C69" s="44">
        <v>129653.71</v>
      </c>
      <c r="D69" s="44">
        <v>156152.91</v>
      </c>
      <c r="E69" s="56">
        <v>0</v>
      </c>
      <c r="F69" s="44">
        <v>0</v>
      </c>
      <c r="G69" s="2"/>
      <c r="H69" s="746"/>
      <c r="I69" s="746"/>
      <c r="J69" s="746"/>
      <c r="K69" s="746"/>
      <c r="L69" s="746"/>
      <c r="M69" s="746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</row>
    <row r="70" spans="1:231" ht="15" customHeight="1" x14ac:dyDescent="0.25">
      <c r="A70" s="23" t="s">
        <v>148</v>
      </c>
      <c r="B70" s="41">
        <f>SUM(B66:B69)</f>
        <v>132829.71</v>
      </c>
      <c r="C70" s="54">
        <f>SUM(C66:C69)</f>
        <v>129653.71</v>
      </c>
      <c r="D70" s="41">
        <f>SUM(D66:D69)</f>
        <v>156152.91</v>
      </c>
      <c r="E70" s="54">
        <f>SUM(E66:E69)</f>
        <v>0</v>
      </c>
      <c r="F70" s="41">
        <f>SUM(F66:F69)</f>
        <v>0</v>
      </c>
      <c r="G70" s="2"/>
      <c r="H70" s="746"/>
      <c r="I70" s="746"/>
      <c r="J70" s="746"/>
      <c r="K70" s="746"/>
      <c r="L70" s="746"/>
      <c r="M70" s="746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</row>
    <row r="71" spans="1:231" ht="15.75" customHeight="1" x14ac:dyDescent="0.25">
      <c r="A71" s="32"/>
      <c r="B71" s="47"/>
      <c r="C71" s="59"/>
      <c r="D71" s="47"/>
      <c r="E71" s="59"/>
      <c r="F71" s="47"/>
      <c r="G71" s="2"/>
      <c r="H71" s="746"/>
      <c r="I71" s="746"/>
      <c r="J71" s="746"/>
      <c r="K71" s="746"/>
      <c r="L71" s="746"/>
      <c r="M71" s="746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</row>
    <row r="72" spans="1:231" ht="16.5" customHeight="1" thickBot="1" x14ac:dyDescent="0.3">
      <c r="A72" s="33" t="s">
        <v>149</v>
      </c>
      <c r="B72" s="48">
        <f>B70+B63+B57</f>
        <v>132829.71</v>
      </c>
      <c r="C72" s="60">
        <f>C70+C63+C57</f>
        <v>129653.71</v>
      </c>
      <c r="D72" s="48">
        <f>D70+D63+D57</f>
        <v>156152.91</v>
      </c>
      <c r="E72" s="60">
        <f>E70+E63+E57</f>
        <v>0</v>
      </c>
      <c r="F72" s="48">
        <f>F70+F63+F57</f>
        <v>0</v>
      </c>
      <c r="H72" s="746"/>
      <c r="I72" s="746"/>
      <c r="J72" s="746"/>
      <c r="K72" s="746"/>
      <c r="L72" s="746"/>
      <c r="M72" s="746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</row>
    <row r="73" spans="1:231" ht="15.75" customHeight="1" x14ac:dyDescent="0.25">
      <c r="H73" s="249"/>
      <c r="I73" s="249"/>
      <c r="J73" s="249"/>
      <c r="K73" s="249"/>
      <c r="L73" s="249"/>
      <c r="M73" s="249"/>
      <c r="N73" s="745"/>
      <c r="O73" s="745"/>
      <c r="P73" s="745"/>
      <c r="Q73" s="745"/>
      <c r="R73" s="745"/>
      <c r="S73" s="745"/>
      <c r="T73" s="745"/>
      <c r="U73" s="745"/>
      <c r="V73" s="745"/>
    </row>
    <row r="74" spans="1:231" ht="15.75" customHeight="1" x14ac:dyDescent="0.25">
      <c r="H74" s="249"/>
      <c r="I74" s="249"/>
      <c r="J74" s="249"/>
      <c r="K74" s="249"/>
      <c r="L74" s="249"/>
      <c r="M74" s="249"/>
    </row>
    <row r="75" spans="1:231" ht="15.75" customHeight="1" x14ac:dyDescent="0.25">
      <c r="H75" s="249"/>
      <c r="I75" s="249"/>
      <c r="J75" s="249"/>
      <c r="K75" s="249"/>
      <c r="L75" s="744"/>
      <c r="M75" s="249"/>
    </row>
    <row r="76" spans="1:231" ht="15.75" customHeight="1" x14ac:dyDescent="0.25">
      <c r="H76" s="249"/>
      <c r="I76" s="249"/>
      <c r="J76" s="249"/>
      <c r="K76" s="249"/>
      <c r="L76" s="249"/>
      <c r="M76" s="249"/>
    </row>
    <row r="77" spans="1:231" ht="15.75" customHeight="1" x14ac:dyDescent="0.25">
      <c r="H77" s="249"/>
      <c r="I77" s="249"/>
      <c r="J77" s="249"/>
      <c r="K77" s="249"/>
      <c r="L77" s="249"/>
      <c r="M77" s="249"/>
    </row>
    <row r="78" spans="1:231" ht="15.75" customHeight="1" x14ac:dyDescent="0.25">
      <c r="L78" s="249"/>
    </row>
    <row r="79" spans="1:231" ht="15.75" customHeight="1" x14ac:dyDescent="0.25">
      <c r="L79" s="249"/>
    </row>
  </sheetData>
  <mergeCells count="6">
    <mergeCell ref="A7:F7"/>
    <mergeCell ref="A1:F1"/>
    <mergeCell ref="A3:F3"/>
    <mergeCell ref="A4:F4"/>
    <mergeCell ref="A5:F5"/>
    <mergeCell ref="A6:F6"/>
  </mergeCells>
  <pageMargins left="0.7" right="0.7" top="0.75" bottom="0.75" header="0.3" footer="0.3"/>
  <pageSetup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HW72"/>
  <sheetViews>
    <sheetView topLeftCell="A9" zoomScale="70" zoomScaleNormal="70" workbookViewId="0">
      <selection activeCell="D14" sqref="D14"/>
    </sheetView>
  </sheetViews>
  <sheetFormatPr defaultColWidth="8.85546875" defaultRowHeight="15.75" customHeight="1" x14ac:dyDescent="0.25"/>
  <cols>
    <col min="1" max="1" width="64.42578125" style="8" customWidth="1"/>
    <col min="2" max="2" width="16.42578125" style="249" customWidth="1"/>
    <col min="3" max="3" width="16.85546875" style="8" customWidth="1"/>
    <col min="4" max="4" width="18.140625" style="8" customWidth="1"/>
    <col min="5" max="5" width="17" style="8" customWidth="1"/>
    <col min="6" max="6" width="17.42578125" style="8" customWidth="1"/>
    <col min="7" max="231" width="8.85546875" style="8" customWidth="1"/>
    <col min="232" max="16384" width="8.85546875" style="2"/>
  </cols>
  <sheetData>
    <row r="1" spans="1:231" ht="18.75" customHeight="1" x14ac:dyDescent="0.25">
      <c r="A1" s="862" t="s">
        <v>0</v>
      </c>
      <c r="B1" s="879"/>
      <c r="C1" s="879"/>
      <c r="D1" s="879"/>
      <c r="E1" s="879"/>
      <c r="F1" s="879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</row>
    <row r="2" spans="1:231" ht="18.75" customHeight="1" x14ac:dyDescent="0.25">
      <c r="A2" s="3"/>
      <c r="B2" s="731"/>
      <c r="C2" s="4"/>
      <c r="D2" s="4"/>
      <c r="E2" s="4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</row>
    <row r="3" spans="1:231" s="9" customFormat="1" ht="18.75" customHeight="1" x14ac:dyDescent="0.3">
      <c r="A3" s="858" t="s">
        <v>218</v>
      </c>
      <c r="B3" s="859"/>
      <c r="C3" s="859"/>
      <c r="D3" s="859"/>
      <c r="E3" s="859"/>
      <c r="F3" s="859"/>
    </row>
    <row r="4" spans="1:231" ht="18.75" customHeight="1" x14ac:dyDescent="0.3">
      <c r="A4" s="880" t="s">
        <v>84</v>
      </c>
      <c r="B4" s="860"/>
      <c r="C4" s="860"/>
      <c r="D4" s="860"/>
      <c r="E4" s="860"/>
      <c r="F4" s="86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</row>
    <row r="5" spans="1:231" ht="18.75" customHeight="1" x14ac:dyDescent="0.3">
      <c r="A5" s="880" t="s">
        <v>85</v>
      </c>
      <c r="B5" s="881"/>
      <c r="C5" s="881"/>
      <c r="D5" s="881"/>
      <c r="E5" s="881"/>
      <c r="F5" s="88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</row>
    <row r="6" spans="1:231" ht="18.75" customHeight="1" x14ac:dyDescent="0.3">
      <c r="A6" s="858" t="s">
        <v>219</v>
      </c>
      <c r="B6" s="882"/>
      <c r="C6" s="882"/>
      <c r="D6" s="882"/>
      <c r="E6" s="882"/>
      <c r="F6" s="88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</row>
    <row r="7" spans="1:231" ht="18.75" customHeight="1" x14ac:dyDescent="0.3">
      <c r="A7" s="858" t="s">
        <v>5</v>
      </c>
      <c r="B7" s="859"/>
      <c r="C7" s="859"/>
      <c r="D7" s="859"/>
      <c r="E7" s="859"/>
      <c r="F7" s="859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</row>
    <row r="8" spans="1:231" ht="16.5" customHeight="1" thickBot="1" x14ac:dyDescent="0.3">
      <c r="A8" s="6"/>
      <c r="B8" s="761"/>
      <c r="C8" s="7"/>
      <c r="D8" s="34"/>
      <c r="E8" s="7"/>
      <c r="F8" s="3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</row>
    <row r="9" spans="1:231" ht="17.45" customHeight="1" x14ac:dyDescent="0.25">
      <c r="A9" s="17"/>
      <c r="B9" s="760" t="s">
        <v>162</v>
      </c>
      <c r="C9" s="49" t="s">
        <v>163</v>
      </c>
      <c r="D9" s="35" t="s">
        <v>98</v>
      </c>
      <c r="E9" s="49" t="s">
        <v>164</v>
      </c>
      <c r="F9" s="35" t="s">
        <v>165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</row>
    <row r="10" spans="1:231" ht="15" customHeight="1" x14ac:dyDescent="0.25">
      <c r="A10" s="18"/>
      <c r="B10" s="759">
        <v>43831</v>
      </c>
      <c r="C10" s="50">
        <v>43921</v>
      </c>
      <c r="D10" s="36">
        <v>44012</v>
      </c>
      <c r="E10" s="50">
        <v>44104</v>
      </c>
      <c r="F10" s="61">
        <v>44196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</row>
    <row r="11" spans="1:231" ht="15" customHeight="1" thickBot="1" x14ac:dyDescent="0.3">
      <c r="A11" s="19"/>
      <c r="B11" s="758" t="s">
        <v>19</v>
      </c>
      <c r="C11" s="51" t="s">
        <v>19</v>
      </c>
      <c r="D11" s="37" t="s">
        <v>19</v>
      </c>
      <c r="E11" s="51" t="s">
        <v>19</v>
      </c>
      <c r="F11" s="37" t="s">
        <v>19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</row>
    <row r="12" spans="1:231" ht="15" customHeight="1" x14ac:dyDescent="0.25">
      <c r="A12" s="20" t="s">
        <v>99</v>
      </c>
      <c r="B12" s="757"/>
      <c r="C12" s="52"/>
      <c r="D12" s="38"/>
      <c r="E12" s="52"/>
      <c r="F12" s="38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</row>
    <row r="13" spans="1:231" ht="15" customHeight="1" x14ac:dyDescent="0.25">
      <c r="A13" s="21" t="s">
        <v>100</v>
      </c>
      <c r="B13" s="753"/>
      <c r="C13" s="12"/>
      <c r="D13" s="39"/>
      <c r="E13" s="12"/>
      <c r="F13" s="39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</row>
    <row r="14" spans="1:231" ht="15" customHeight="1" x14ac:dyDescent="0.25">
      <c r="A14" s="10" t="s">
        <v>101</v>
      </c>
      <c r="B14" s="753">
        <v>343262.56</v>
      </c>
      <c r="C14" s="12">
        <v>199186.2</v>
      </c>
      <c r="D14" s="39">
        <v>58657.3</v>
      </c>
      <c r="E14" s="12">
        <v>0</v>
      </c>
      <c r="F14" s="39"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</row>
    <row r="15" spans="1:231" ht="15" customHeight="1" x14ac:dyDescent="0.25">
      <c r="A15" s="11" t="s">
        <v>102</v>
      </c>
      <c r="B15" s="753">
        <v>11397.86</v>
      </c>
      <c r="C15" s="12">
        <v>155353.99</v>
      </c>
      <c r="D15" s="39">
        <v>839228.99</v>
      </c>
      <c r="E15" s="12">
        <v>0</v>
      </c>
      <c r="F15" s="39">
        <v>0</v>
      </c>
      <c r="G15" s="2"/>
      <c r="H15" s="2"/>
      <c r="I15" s="305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</row>
    <row r="16" spans="1:231" ht="15" customHeight="1" x14ac:dyDescent="0.25">
      <c r="A16" s="11" t="s">
        <v>103</v>
      </c>
      <c r="B16" s="753">
        <v>4422</v>
      </c>
      <c r="C16" s="12">
        <v>4422</v>
      </c>
      <c r="D16" s="39">
        <v>4422</v>
      </c>
      <c r="E16" s="12">
        <v>0</v>
      </c>
      <c r="F16" s="39"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</row>
    <row r="17" spans="1:231" ht="15" customHeight="1" x14ac:dyDescent="0.25">
      <c r="A17" s="11" t="s">
        <v>104</v>
      </c>
      <c r="B17" s="753">
        <v>0</v>
      </c>
      <c r="C17" s="12">
        <v>0</v>
      </c>
      <c r="D17" s="39">
        <v>0</v>
      </c>
      <c r="E17" s="12">
        <v>0</v>
      </c>
      <c r="F17" s="39"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</row>
    <row r="18" spans="1:231" ht="15" customHeight="1" x14ac:dyDescent="0.25">
      <c r="A18" s="11" t="s">
        <v>105</v>
      </c>
      <c r="B18" s="753">
        <v>165.87</v>
      </c>
      <c r="C18" s="12">
        <v>165.87</v>
      </c>
      <c r="D18" s="39">
        <v>0</v>
      </c>
      <c r="E18" s="12">
        <v>0</v>
      </c>
      <c r="F18" s="39"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</row>
    <row r="19" spans="1:231" ht="15" customHeight="1" x14ac:dyDescent="0.25">
      <c r="A19" s="22" t="s">
        <v>106</v>
      </c>
      <c r="B19" s="756">
        <v>0</v>
      </c>
      <c r="C19" s="53">
        <v>0</v>
      </c>
      <c r="D19" s="40">
        <v>0</v>
      </c>
      <c r="E19" s="53">
        <v>0</v>
      </c>
      <c r="F19" s="40"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</row>
    <row r="20" spans="1:231" ht="15" customHeight="1" x14ac:dyDescent="0.25">
      <c r="A20" s="23" t="s">
        <v>107</v>
      </c>
      <c r="B20" s="750">
        <f>SUM(B14:B19)</f>
        <v>359248.29</v>
      </c>
      <c r="C20" s="54">
        <f>SUM(C14:C19)</f>
        <v>359128.06</v>
      </c>
      <c r="D20" s="41">
        <f>SUM(D14:D19)</f>
        <v>902308.29</v>
      </c>
      <c r="E20" s="54">
        <f>SUM(E14:E19)</f>
        <v>0</v>
      </c>
      <c r="F20" s="41">
        <f>SUM(F14:F19)</f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</row>
    <row r="21" spans="1:231" ht="15" customHeight="1" x14ac:dyDescent="0.25">
      <c r="A21" s="24"/>
      <c r="B21" s="752"/>
      <c r="C21" s="55"/>
      <c r="D21" s="42"/>
      <c r="E21" s="55"/>
      <c r="F21" s="4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</row>
    <row r="22" spans="1:231" ht="15" customHeight="1" x14ac:dyDescent="0.25">
      <c r="A22" s="25" t="s">
        <v>108</v>
      </c>
      <c r="B22" s="753"/>
      <c r="C22" s="12"/>
      <c r="D22" s="39"/>
      <c r="E22" s="12"/>
      <c r="F22" s="39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</row>
    <row r="23" spans="1:231" ht="15" customHeight="1" x14ac:dyDescent="0.25">
      <c r="A23" s="11" t="s">
        <v>109</v>
      </c>
      <c r="B23" s="753">
        <v>0</v>
      </c>
      <c r="C23" s="12">
        <v>0</v>
      </c>
      <c r="D23" s="39">
        <v>0</v>
      </c>
      <c r="E23" s="12">
        <v>0</v>
      </c>
      <c r="F23" s="39">
        <v>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</row>
    <row r="24" spans="1:231" ht="15" customHeight="1" x14ac:dyDescent="0.25">
      <c r="A24" s="11" t="s">
        <v>110</v>
      </c>
      <c r="B24" s="753">
        <v>0</v>
      </c>
      <c r="C24" s="12">
        <v>0</v>
      </c>
      <c r="D24" s="39">
        <v>0</v>
      </c>
      <c r="E24" s="12">
        <v>0</v>
      </c>
      <c r="F24" s="39">
        <v>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</row>
    <row r="25" spans="1:231" ht="15" customHeight="1" x14ac:dyDescent="0.25">
      <c r="A25" s="11" t="s">
        <v>111</v>
      </c>
      <c r="B25" s="753">
        <v>0</v>
      </c>
      <c r="C25" s="12">
        <v>0</v>
      </c>
      <c r="D25" s="39">
        <v>0</v>
      </c>
      <c r="E25" s="12">
        <v>0</v>
      </c>
      <c r="F25" s="39"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</row>
    <row r="26" spans="1:231" ht="15" customHeight="1" x14ac:dyDescent="0.25">
      <c r="A26" s="11" t="s">
        <v>112</v>
      </c>
      <c r="B26" s="753">
        <v>233980.37</v>
      </c>
      <c r="C26" s="12">
        <v>233980.37</v>
      </c>
      <c r="D26" s="39">
        <v>233980.37</v>
      </c>
      <c r="E26" s="12">
        <v>0</v>
      </c>
      <c r="F26" s="39">
        <v>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</row>
    <row r="27" spans="1:231" ht="15" customHeight="1" x14ac:dyDescent="0.25">
      <c r="A27" s="11" t="s">
        <v>220</v>
      </c>
      <c r="B27" s="753"/>
      <c r="C27" s="12"/>
      <c r="D27" s="39"/>
      <c r="E27" s="12"/>
      <c r="F27" s="39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</row>
    <row r="28" spans="1:231" ht="15" customHeight="1" x14ac:dyDescent="0.25">
      <c r="A28" s="11" t="s">
        <v>114</v>
      </c>
      <c r="B28" s="753"/>
      <c r="C28" s="12"/>
      <c r="D28" s="39"/>
      <c r="E28" s="12"/>
      <c r="F28" s="39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</row>
    <row r="29" spans="1:231" ht="15" customHeight="1" x14ac:dyDescent="0.25">
      <c r="A29" s="22" t="s">
        <v>115</v>
      </c>
      <c r="B29" s="756">
        <v>0</v>
      </c>
      <c r="C29" s="53">
        <v>0</v>
      </c>
      <c r="D29" s="40">
        <v>0</v>
      </c>
      <c r="E29" s="53">
        <v>0</v>
      </c>
      <c r="F29" s="40"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</row>
    <row r="30" spans="1:231" ht="15" customHeight="1" x14ac:dyDescent="0.25">
      <c r="A30" s="23" t="s">
        <v>116</v>
      </c>
      <c r="B30" s="750">
        <f>SUM(B23:B29)</f>
        <v>233980.37</v>
      </c>
      <c r="C30" s="54">
        <f>SUM(C23:C29)</f>
        <v>233980.37</v>
      </c>
      <c r="D30" s="41">
        <f>SUM(D23:D29)</f>
        <v>233980.37</v>
      </c>
      <c r="E30" s="54">
        <f>SUM(E23:E29)</f>
        <v>0</v>
      </c>
      <c r="F30" s="41">
        <f>SUM(F23:F29)</f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</row>
    <row r="31" spans="1:231" ht="15" customHeight="1" x14ac:dyDescent="0.25">
      <c r="A31" s="24"/>
      <c r="B31" s="752"/>
      <c r="C31" s="55"/>
      <c r="D31" s="42"/>
      <c r="E31" s="55"/>
      <c r="F31" s="4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</row>
    <row r="32" spans="1:231" ht="15" customHeight="1" x14ac:dyDescent="0.25">
      <c r="A32" s="25" t="s">
        <v>117</v>
      </c>
      <c r="B32" s="593"/>
      <c r="C32" s="15"/>
      <c r="D32" s="43"/>
      <c r="E32" s="15"/>
      <c r="F32" s="4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</row>
    <row r="33" spans="1:231" ht="15" customHeight="1" x14ac:dyDescent="0.25">
      <c r="A33" s="13" t="s">
        <v>118</v>
      </c>
      <c r="B33" s="593">
        <v>0</v>
      </c>
      <c r="C33" s="15">
        <v>0</v>
      </c>
      <c r="D33" s="43">
        <v>0</v>
      </c>
      <c r="E33" s="15">
        <v>0</v>
      </c>
      <c r="F33" s="43"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</row>
    <row r="34" spans="1:231" ht="15" customHeight="1" x14ac:dyDescent="0.25">
      <c r="A34" s="13" t="s">
        <v>119</v>
      </c>
      <c r="B34" s="593">
        <v>9514</v>
      </c>
      <c r="C34" s="15">
        <f>11894.1-2380.45</f>
        <v>9513.6500000000015</v>
      </c>
      <c r="D34" s="43">
        <v>9514</v>
      </c>
      <c r="E34" s="15">
        <v>0</v>
      </c>
      <c r="F34" s="43">
        <v>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</row>
    <row r="35" spans="1:231" ht="15" customHeight="1" x14ac:dyDescent="0.25">
      <c r="A35" s="13" t="s">
        <v>120</v>
      </c>
      <c r="B35" s="593">
        <v>40446</v>
      </c>
      <c r="C35" s="15">
        <f>101115.33-60669.21</f>
        <v>40446.120000000003</v>
      </c>
      <c r="D35" s="43">
        <v>40446</v>
      </c>
      <c r="E35" s="15">
        <v>0</v>
      </c>
      <c r="F35" s="43">
        <v>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</row>
    <row r="36" spans="1:231" ht="15" customHeight="1" x14ac:dyDescent="0.25">
      <c r="A36" s="13" t="s">
        <v>121</v>
      </c>
      <c r="B36" s="593">
        <v>5349</v>
      </c>
      <c r="C36" s="15">
        <f>75676.87-70327.78</f>
        <v>5349.0899999999965</v>
      </c>
      <c r="D36" s="43">
        <v>5349</v>
      </c>
      <c r="E36" s="15">
        <v>0</v>
      </c>
      <c r="F36" s="43">
        <v>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</row>
    <row r="37" spans="1:231" ht="15" customHeight="1" x14ac:dyDescent="0.25">
      <c r="A37" s="13" t="s">
        <v>122</v>
      </c>
      <c r="B37" s="593">
        <v>0</v>
      </c>
      <c r="C37" s="15">
        <v>0</v>
      </c>
      <c r="D37" s="43">
        <v>0</v>
      </c>
      <c r="E37" s="15">
        <v>0</v>
      </c>
      <c r="F37" s="43"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</row>
    <row r="38" spans="1:231" ht="15" customHeight="1" x14ac:dyDescent="0.25">
      <c r="A38" s="14" t="s">
        <v>169</v>
      </c>
      <c r="B38" s="751">
        <v>0</v>
      </c>
      <c r="C38" s="56">
        <v>0</v>
      </c>
      <c r="D38" s="44">
        <v>0</v>
      </c>
      <c r="E38" s="56">
        <v>0</v>
      </c>
      <c r="F38" s="44"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</row>
    <row r="39" spans="1:231" ht="15" customHeight="1" x14ac:dyDescent="0.25">
      <c r="A39" s="23" t="s">
        <v>124</v>
      </c>
      <c r="B39" s="750">
        <f>SUM(B32:B38)</f>
        <v>55309</v>
      </c>
      <c r="C39" s="54">
        <f>SUM(C32:C38)</f>
        <v>55308.86</v>
      </c>
      <c r="D39" s="41">
        <f>SUM(D32:D38)</f>
        <v>55309</v>
      </c>
      <c r="E39" s="54">
        <f>SUM(E32:E38)</f>
        <v>0</v>
      </c>
      <c r="F39" s="41">
        <f>SUM(F32:F38)</f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</row>
    <row r="40" spans="1:231" ht="15" customHeight="1" x14ac:dyDescent="0.25">
      <c r="A40" s="26"/>
      <c r="B40" s="755"/>
      <c r="C40" s="57"/>
      <c r="D40" s="45"/>
      <c r="E40" s="57"/>
      <c r="F40" s="45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</row>
    <row r="41" spans="1:231" ht="15" customHeight="1" x14ac:dyDescent="0.25">
      <c r="A41" s="21" t="s">
        <v>125</v>
      </c>
      <c r="B41" s="753">
        <f>208123.06-10406.15</f>
        <v>197716.91</v>
      </c>
      <c r="C41" s="12">
        <f>208123.06-10406.15</f>
        <v>197716.91</v>
      </c>
      <c r="D41" s="39">
        <f>208123.06-10406.15</f>
        <v>197716.91</v>
      </c>
      <c r="E41" s="12">
        <v>0</v>
      </c>
      <c r="F41" s="39"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</row>
    <row r="42" spans="1:231" ht="15" customHeight="1" x14ac:dyDescent="0.25">
      <c r="A42" s="27"/>
      <c r="B42" s="751"/>
      <c r="C42" s="56"/>
      <c r="D42" s="44"/>
      <c r="E42" s="56"/>
      <c r="F42" s="4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</row>
    <row r="43" spans="1:231" ht="15" customHeight="1" x14ac:dyDescent="0.25">
      <c r="A43" s="23" t="s">
        <v>126</v>
      </c>
      <c r="B43" s="750">
        <f>B20+B30+B39+B41</f>
        <v>846254.57</v>
      </c>
      <c r="C43" s="54">
        <f>C20+C30+C39+C41</f>
        <v>846134.2</v>
      </c>
      <c r="D43" s="41">
        <f>D20+D30+D39+D41</f>
        <v>1389314.57</v>
      </c>
      <c r="E43" s="54">
        <f>E20+E30+E39+E41</f>
        <v>0</v>
      </c>
      <c r="F43" s="41">
        <f>F20+F30+F39+F41</f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</row>
    <row r="44" spans="1:231" ht="15" customHeight="1" x14ac:dyDescent="0.25">
      <c r="A44" s="28"/>
      <c r="B44" s="754"/>
      <c r="C44" s="58"/>
      <c r="D44" s="46"/>
      <c r="E44" s="58"/>
      <c r="F44" s="46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</row>
    <row r="45" spans="1:231" ht="15" customHeight="1" x14ac:dyDescent="0.25">
      <c r="A45" s="21" t="s">
        <v>127</v>
      </c>
      <c r="B45" s="593"/>
      <c r="C45" s="15"/>
      <c r="D45" s="43"/>
      <c r="E45" s="15"/>
      <c r="F45" s="4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</row>
    <row r="46" spans="1:231" ht="15" customHeight="1" x14ac:dyDescent="0.25">
      <c r="A46" s="29"/>
      <c r="B46" s="593"/>
      <c r="C46" s="15"/>
      <c r="D46" s="43"/>
      <c r="E46" s="15"/>
      <c r="F46" s="4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</row>
    <row r="47" spans="1:231" ht="15" customHeight="1" x14ac:dyDescent="0.25">
      <c r="A47" s="21" t="s">
        <v>128</v>
      </c>
      <c r="B47" s="753"/>
      <c r="C47" s="12"/>
      <c r="D47" s="39"/>
      <c r="E47" s="12"/>
      <c r="F47" s="39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</row>
    <row r="48" spans="1:231" ht="15" customHeight="1" x14ac:dyDescent="0.25">
      <c r="A48" s="13" t="s">
        <v>129</v>
      </c>
      <c r="B48" s="593">
        <v>52519.75</v>
      </c>
      <c r="C48" s="15">
        <v>52008.78</v>
      </c>
      <c r="D48" s="43">
        <v>51999.11</v>
      </c>
      <c r="E48" s="15">
        <v>0</v>
      </c>
      <c r="F48" s="43">
        <v>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</row>
    <row r="49" spans="1:231" ht="15" customHeight="1" x14ac:dyDescent="0.25">
      <c r="A49" s="16" t="s">
        <v>130</v>
      </c>
      <c r="B49" s="593">
        <v>0</v>
      </c>
      <c r="C49" s="15">
        <v>0</v>
      </c>
      <c r="D49" s="43">
        <v>0</v>
      </c>
      <c r="E49" s="15">
        <v>0</v>
      </c>
      <c r="F49" s="43">
        <v>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</row>
    <row r="50" spans="1:231" ht="15" customHeight="1" x14ac:dyDescent="0.25">
      <c r="A50" s="16" t="s">
        <v>131</v>
      </c>
      <c r="B50" s="593">
        <v>0</v>
      </c>
      <c r="C50" s="15">
        <v>0</v>
      </c>
      <c r="D50" s="43">
        <v>0</v>
      </c>
      <c r="E50" s="15">
        <v>0</v>
      </c>
      <c r="F50" s="43">
        <v>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</row>
    <row r="51" spans="1:231" ht="15" customHeight="1" x14ac:dyDescent="0.25">
      <c r="A51" s="16" t="s">
        <v>132</v>
      </c>
      <c r="B51" s="593">
        <v>0</v>
      </c>
      <c r="C51" s="15">
        <v>0</v>
      </c>
      <c r="D51" s="43">
        <v>0</v>
      </c>
      <c r="E51" s="15">
        <v>0</v>
      </c>
      <c r="F51" s="43">
        <v>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</row>
    <row r="52" spans="1:231" ht="15" customHeight="1" x14ac:dyDescent="0.25">
      <c r="A52" s="16" t="s">
        <v>133</v>
      </c>
      <c r="B52" s="593">
        <v>0</v>
      </c>
      <c r="C52" s="15">
        <v>0</v>
      </c>
      <c r="D52" s="43">
        <v>0</v>
      </c>
      <c r="E52" s="15">
        <v>0</v>
      </c>
      <c r="F52" s="43">
        <v>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</row>
    <row r="53" spans="1:231" ht="15" customHeight="1" x14ac:dyDescent="0.25">
      <c r="A53" s="16" t="s">
        <v>134</v>
      </c>
      <c r="B53" s="593">
        <v>0</v>
      </c>
      <c r="C53" s="15">
        <v>0</v>
      </c>
      <c r="D53" s="43">
        <v>0</v>
      </c>
      <c r="E53" s="15">
        <v>0</v>
      </c>
      <c r="F53" s="43">
        <v>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</row>
    <row r="54" spans="1:231" ht="15" customHeight="1" x14ac:dyDescent="0.25">
      <c r="A54" s="13" t="s">
        <v>135</v>
      </c>
      <c r="B54" s="593">
        <v>0</v>
      </c>
      <c r="C54" s="15">
        <v>0</v>
      </c>
      <c r="D54" s="43">
        <v>0</v>
      </c>
      <c r="E54" s="15">
        <v>0</v>
      </c>
      <c r="F54" s="43">
        <v>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</row>
    <row r="55" spans="1:231" ht="15" customHeight="1" x14ac:dyDescent="0.25">
      <c r="A55" s="13" t="s">
        <v>136</v>
      </c>
      <c r="B55" s="593">
        <v>0</v>
      </c>
      <c r="C55" s="15">
        <v>0</v>
      </c>
      <c r="D55" s="43">
        <v>0</v>
      </c>
      <c r="E55" s="15">
        <v>0</v>
      </c>
      <c r="F55" s="43">
        <v>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</row>
    <row r="56" spans="1:231" ht="15" customHeight="1" x14ac:dyDescent="0.25">
      <c r="A56" s="14" t="s">
        <v>137</v>
      </c>
      <c r="B56" s="751">
        <v>0</v>
      </c>
      <c r="C56" s="56">
        <v>0</v>
      </c>
      <c r="D56" s="44">
        <v>0</v>
      </c>
      <c r="E56" s="56">
        <v>0</v>
      </c>
      <c r="F56" s="44">
        <v>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</row>
    <row r="57" spans="1:231" ht="15" customHeight="1" x14ac:dyDescent="0.25">
      <c r="A57" s="23" t="s">
        <v>138</v>
      </c>
      <c r="B57" s="750">
        <f>SUM(B48:B56)</f>
        <v>52519.75</v>
      </c>
      <c r="C57" s="54">
        <f>SUM(C48:C56)</f>
        <v>52008.78</v>
      </c>
      <c r="D57" s="41">
        <f>SUM(D48:D56)</f>
        <v>51999.11</v>
      </c>
      <c r="E57" s="54">
        <f>SUM(E48:E56)</f>
        <v>0</v>
      </c>
      <c r="F57" s="41">
        <f>SUM(F48:F56)</f>
        <v>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</row>
    <row r="58" spans="1:231" ht="15" customHeight="1" x14ac:dyDescent="0.25">
      <c r="A58" s="30"/>
      <c r="B58" s="752"/>
      <c r="C58" s="55"/>
      <c r="D58" s="42"/>
      <c r="E58" s="55"/>
      <c r="F58" s="4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</row>
    <row r="59" spans="1:231" ht="15" customHeight="1" x14ac:dyDescent="0.25">
      <c r="A59" s="21" t="s">
        <v>139</v>
      </c>
      <c r="B59" s="593"/>
      <c r="C59" s="15"/>
      <c r="D59" s="43"/>
      <c r="E59" s="15"/>
      <c r="F59" s="4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</row>
    <row r="60" spans="1:231" ht="15" customHeight="1" x14ac:dyDescent="0.25">
      <c r="A60" s="13" t="s">
        <v>170</v>
      </c>
      <c r="B60" s="593">
        <v>0</v>
      </c>
      <c r="C60" s="15">
        <v>0</v>
      </c>
      <c r="D60" s="43">
        <v>0</v>
      </c>
      <c r="E60" s="15">
        <v>0</v>
      </c>
      <c r="F60" s="43">
        <v>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</row>
    <row r="61" spans="1:231" ht="15" customHeight="1" x14ac:dyDescent="0.25">
      <c r="A61" s="13" t="s">
        <v>221</v>
      </c>
      <c r="B61" s="593">
        <v>199992.76</v>
      </c>
      <c r="C61" s="15">
        <v>199992.76</v>
      </c>
      <c r="D61" s="43">
        <v>199992.76</v>
      </c>
      <c r="E61" s="15">
        <v>0</v>
      </c>
      <c r="F61" s="4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</row>
    <row r="62" spans="1:231" ht="15" customHeight="1" x14ac:dyDescent="0.25">
      <c r="A62" s="31"/>
      <c r="B62" s="751"/>
      <c r="C62" s="56"/>
      <c r="D62" s="44"/>
      <c r="E62" s="56"/>
      <c r="F62" s="4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</row>
    <row r="63" spans="1:231" ht="15" customHeight="1" x14ac:dyDescent="0.25">
      <c r="A63" s="23" t="s">
        <v>142</v>
      </c>
      <c r="B63" s="750">
        <f>SUM(B60:B62)</f>
        <v>199992.76</v>
      </c>
      <c r="C63" s="54">
        <f>SUM(C60:C62)</f>
        <v>199992.76</v>
      </c>
      <c r="D63" s="41">
        <f>SUM(D60:D62)</f>
        <v>199992.76</v>
      </c>
      <c r="E63" s="54">
        <f>SUM(E60:E62)</f>
        <v>0</v>
      </c>
      <c r="F63" s="41">
        <f>SUM(F60:F62)</f>
        <v>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</row>
    <row r="64" spans="1:231" ht="15" customHeight="1" x14ac:dyDescent="0.25">
      <c r="A64" s="30"/>
      <c r="B64" s="752"/>
      <c r="C64" s="55"/>
      <c r="D64" s="42"/>
      <c r="E64" s="55"/>
      <c r="F64" s="4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</row>
    <row r="65" spans="1:231" ht="15" customHeight="1" x14ac:dyDescent="0.25">
      <c r="A65" s="21" t="s">
        <v>143</v>
      </c>
      <c r="B65" s="593"/>
      <c r="C65" s="15"/>
      <c r="D65" s="43"/>
      <c r="E65" s="15"/>
      <c r="F65" s="4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</row>
    <row r="66" spans="1:231" ht="15" customHeight="1" x14ac:dyDescent="0.25">
      <c r="A66" s="13" t="s">
        <v>144</v>
      </c>
      <c r="B66" s="593">
        <v>593576.05000000005</v>
      </c>
      <c r="C66" s="15">
        <v>741880.72</v>
      </c>
      <c r="D66" s="43">
        <v>741880.72</v>
      </c>
      <c r="E66" s="15">
        <v>0</v>
      </c>
      <c r="F66" s="43">
        <v>0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</row>
    <row r="67" spans="1:231" ht="15" customHeight="1" x14ac:dyDescent="0.25">
      <c r="A67" s="13" t="s">
        <v>145</v>
      </c>
      <c r="B67" s="593">
        <v>0</v>
      </c>
      <c r="C67" s="15">
        <v>0</v>
      </c>
      <c r="D67" s="43">
        <v>0</v>
      </c>
      <c r="E67" s="15">
        <v>0</v>
      </c>
      <c r="F67" s="43">
        <v>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</row>
    <row r="68" spans="1:231" ht="15" customHeight="1" x14ac:dyDescent="0.25">
      <c r="A68" s="13" t="s">
        <v>146</v>
      </c>
      <c r="B68" s="593">
        <v>0</v>
      </c>
      <c r="C68" s="15">
        <v>0</v>
      </c>
      <c r="D68" s="43">
        <v>0</v>
      </c>
      <c r="E68" s="15">
        <v>0</v>
      </c>
      <c r="F68" s="43">
        <v>0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</row>
    <row r="69" spans="1:231" ht="15" customHeight="1" x14ac:dyDescent="0.25">
      <c r="A69" s="14" t="s">
        <v>147</v>
      </c>
      <c r="B69" s="751">
        <v>0</v>
      </c>
      <c r="C69" s="56">
        <v>-147748.06</v>
      </c>
      <c r="D69" s="44">
        <v>395441.84</v>
      </c>
      <c r="E69" s="56">
        <v>0</v>
      </c>
      <c r="F69" s="44">
        <v>0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</row>
    <row r="70" spans="1:231" ht="15" customHeight="1" x14ac:dyDescent="0.25">
      <c r="A70" s="23" t="s">
        <v>148</v>
      </c>
      <c r="B70" s="750">
        <f>SUM(B66:B69)</f>
        <v>593576.05000000005</v>
      </c>
      <c r="C70" s="54">
        <f>SUM(C66:C69)</f>
        <v>594132.65999999992</v>
      </c>
      <c r="D70" s="41">
        <f>SUM(D66:D69)</f>
        <v>1137322.56</v>
      </c>
      <c r="E70" s="54">
        <f>SUM(E66:E69)</f>
        <v>0</v>
      </c>
      <c r="F70" s="41">
        <f>SUM(F66:F69)</f>
        <v>0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</row>
    <row r="71" spans="1:231" ht="15.75" customHeight="1" x14ac:dyDescent="0.25">
      <c r="A71" s="32"/>
      <c r="B71" s="749"/>
      <c r="C71" s="59"/>
      <c r="D71" s="47"/>
      <c r="E71" s="59"/>
      <c r="F71" s="47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</row>
    <row r="72" spans="1:231" ht="16.5" customHeight="1" thickBot="1" x14ac:dyDescent="0.3">
      <c r="A72" s="33" t="s">
        <v>149</v>
      </c>
      <c r="B72" s="748">
        <f>B70+B63+B57</f>
        <v>846088.56</v>
      </c>
      <c r="C72" s="60">
        <f>C70+C63+C57</f>
        <v>846134.2</v>
      </c>
      <c r="D72" s="48">
        <f>D70+D63+D57</f>
        <v>1389314.4300000002</v>
      </c>
      <c r="E72" s="60">
        <f>E70+E63+E57</f>
        <v>0</v>
      </c>
      <c r="F72" s="48">
        <f>F70+F63+F57</f>
        <v>0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</row>
  </sheetData>
  <mergeCells count="6">
    <mergeCell ref="A7:F7"/>
    <mergeCell ref="A1:F1"/>
    <mergeCell ref="A3:F3"/>
    <mergeCell ref="A4:F4"/>
    <mergeCell ref="A5:F5"/>
    <mergeCell ref="A6:F6"/>
  </mergeCells>
  <pageMargins left="0.7" right="0.7" top="0.75" bottom="0.75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HM76"/>
  <sheetViews>
    <sheetView showGridLines="0" tabSelected="1" zoomScale="70" zoomScaleNormal="70" workbookViewId="0">
      <selection activeCell="I14" sqref="I14"/>
    </sheetView>
  </sheetViews>
  <sheetFormatPr defaultColWidth="8.85546875" defaultRowHeight="15" x14ac:dyDescent="0.25"/>
  <cols>
    <col min="1" max="1" width="44.5703125" style="8" customWidth="1"/>
    <col min="2" max="2" width="18" style="8" customWidth="1"/>
    <col min="3" max="5" width="18.140625" style="8" customWidth="1"/>
    <col min="6" max="8" width="17.42578125" style="8" customWidth="1"/>
    <col min="9" max="9" width="57.28515625" style="594" customWidth="1"/>
    <col min="10" max="10" width="15" style="594" bestFit="1" customWidth="1"/>
    <col min="11" max="11" width="17.85546875" style="8" customWidth="1"/>
    <col min="12" max="12" width="16.7109375" style="8" customWidth="1"/>
    <col min="13" max="221" width="8.85546875" style="8" customWidth="1"/>
    <col min="222" max="16384" width="8.85546875" style="2"/>
  </cols>
  <sheetData>
    <row r="1" spans="1:221" ht="18.75" customHeight="1" x14ac:dyDescent="0.25">
      <c r="A1" s="862" t="s">
        <v>0</v>
      </c>
      <c r="B1" s="863"/>
      <c r="C1" s="738"/>
      <c r="D1" s="594"/>
      <c r="E1" s="594"/>
      <c r="F1" s="594"/>
      <c r="G1" s="594"/>
      <c r="H1" s="59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</row>
    <row r="2" spans="1:221" ht="18.75" customHeight="1" x14ac:dyDescent="0.25">
      <c r="A2" s="3"/>
      <c r="B2" s="4"/>
      <c r="C2" s="4"/>
      <c r="D2" s="4"/>
      <c r="E2" s="4"/>
      <c r="F2" s="4"/>
      <c r="G2" s="4"/>
      <c r="H2" s="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</row>
    <row r="3" spans="1:221" s="9" customFormat="1" ht="18.75" customHeight="1" x14ac:dyDescent="0.3">
      <c r="A3" s="858"/>
      <c r="B3" s="859"/>
      <c r="C3" s="834"/>
      <c r="D3" s="619"/>
      <c r="E3" s="619"/>
      <c r="F3" s="619"/>
      <c r="G3" s="619"/>
      <c r="H3" s="619"/>
      <c r="I3" s="619"/>
      <c r="J3" s="619"/>
    </row>
    <row r="4" spans="1:221" ht="18.75" customHeight="1" x14ac:dyDescent="0.3">
      <c r="A4" s="835" t="s">
        <v>84</v>
      </c>
      <c r="B4" s="739"/>
      <c r="C4" s="860"/>
      <c r="D4" s="860"/>
      <c r="E4" s="860"/>
      <c r="F4" s="860"/>
      <c r="G4" s="860"/>
      <c r="H4" s="860"/>
      <c r="I4" s="860"/>
      <c r="J4" s="860"/>
      <c r="K4" s="860"/>
      <c r="L4" s="860"/>
      <c r="M4" s="860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</row>
    <row r="5" spans="1:221" ht="18.75" customHeight="1" x14ac:dyDescent="0.3">
      <c r="A5" s="864" t="s">
        <v>85</v>
      </c>
      <c r="B5" s="865"/>
      <c r="C5" s="861" t="s">
        <v>86</v>
      </c>
      <c r="D5" s="861"/>
      <c r="E5" s="861"/>
      <c r="F5" s="861"/>
      <c r="G5" s="861"/>
      <c r="H5" s="861"/>
      <c r="I5" s="861"/>
      <c r="J5" s="861"/>
      <c r="K5" s="861"/>
      <c r="L5" s="861"/>
      <c r="M5" s="86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</row>
    <row r="6" spans="1:221" ht="18.75" customHeight="1" x14ac:dyDescent="0.3">
      <c r="A6" s="858" t="s">
        <v>87</v>
      </c>
      <c r="B6" s="859"/>
      <c r="C6" s="836"/>
      <c r="D6" s="594"/>
      <c r="E6" s="594"/>
      <c r="F6" s="594"/>
      <c r="G6" s="594"/>
      <c r="H6" s="594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</row>
    <row r="7" spans="1:221" ht="18.75" customHeight="1" x14ac:dyDescent="0.35">
      <c r="A7" s="833"/>
      <c r="B7" s="819" t="s">
        <v>88</v>
      </c>
      <c r="C7" s="816" t="s">
        <v>89</v>
      </c>
      <c r="D7" s="818" t="s">
        <v>90</v>
      </c>
      <c r="E7" s="818" t="s">
        <v>91</v>
      </c>
      <c r="F7" s="818" t="s">
        <v>92</v>
      </c>
      <c r="G7" s="818" t="s">
        <v>93</v>
      </c>
      <c r="H7" s="818" t="s">
        <v>94</v>
      </c>
      <c r="I7" s="822" t="s">
        <v>225</v>
      </c>
      <c r="J7" s="817" t="s">
        <v>95</v>
      </c>
      <c r="K7" s="817" t="s">
        <v>96</v>
      </c>
      <c r="L7" s="817" t="s">
        <v>97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</row>
    <row r="8" spans="1:221" ht="16.5" customHeight="1" x14ac:dyDescent="0.25">
      <c r="A8" s="6"/>
      <c r="B8" s="34"/>
      <c r="C8" s="34"/>
      <c r="D8" s="34"/>
      <c r="E8" s="34"/>
      <c r="F8" s="34"/>
      <c r="G8" s="34"/>
      <c r="H8" s="34"/>
      <c r="J8" s="34"/>
      <c r="K8" s="34"/>
      <c r="L8" s="3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</row>
    <row r="9" spans="1:221" ht="17.45" customHeight="1" x14ac:dyDescent="0.25">
      <c r="A9" s="17"/>
      <c r="B9" s="35" t="s">
        <v>98</v>
      </c>
      <c r="C9" s="35" t="s">
        <v>98</v>
      </c>
      <c r="D9" s="35" t="s">
        <v>98</v>
      </c>
      <c r="E9" s="35" t="s">
        <v>98</v>
      </c>
      <c r="F9" s="35" t="s">
        <v>98</v>
      </c>
      <c r="G9" s="35" t="s">
        <v>98</v>
      </c>
      <c r="H9" s="35" t="s">
        <v>98</v>
      </c>
      <c r="I9" s="35" t="s">
        <v>98</v>
      </c>
      <c r="J9" s="35" t="s">
        <v>98</v>
      </c>
      <c r="K9" s="35" t="s">
        <v>98</v>
      </c>
      <c r="L9" s="35" t="s">
        <v>98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</row>
    <row r="10" spans="1:221" ht="15" customHeight="1" x14ac:dyDescent="0.25">
      <c r="A10" s="18"/>
      <c r="B10" s="36">
        <v>44012</v>
      </c>
      <c r="C10" s="36">
        <v>44012</v>
      </c>
      <c r="D10" s="36">
        <v>44012</v>
      </c>
      <c r="E10" s="36">
        <v>44012</v>
      </c>
      <c r="F10" s="36">
        <v>44012</v>
      </c>
      <c r="G10" s="36">
        <v>44012</v>
      </c>
      <c r="H10" s="36">
        <v>44012</v>
      </c>
      <c r="I10" s="909">
        <v>44012</v>
      </c>
      <c r="J10" s="36">
        <v>44012</v>
      </c>
      <c r="K10" s="36">
        <v>44012</v>
      </c>
      <c r="L10" s="36">
        <v>44012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</row>
    <row r="11" spans="1:221" ht="15" customHeight="1" x14ac:dyDescent="0.25">
      <c r="A11" s="19"/>
      <c r="B11" s="37" t="s">
        <v>19</v>
      </c>
      <c r="C11" s="37" t="s">
        <v>19</v>
      </c>
      <c r="D11" s="37" t="s">
        <v>19</v>
      </c>
      <c r="E11" s="275" t="s">
        <v>19</v>
      </c>
      <c r="F11" s="37" t="s">
        <v>19</v>
      </c>
      <c r="G11" s="275" t="s">
        <v>19</v>
      </c>
      <c r="H11" s="275" t="s">
        <v>19</v>
      </c>
      <c r="I11" s="910" t="s">
        <v>19</v>
      </c>
      <c r="J11" s="37" t="s">
        <v>19</v>
      </c>
      <c r="K11" s="275" t="s">
        <v>19</v>
      </c>
      <c r="L11" s="37" t="s">
        <v>19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</row>
    <row r="12" spans="1:221" ht="15" customHeight="1" x14ac:dyDescent="0.25">
      <c r="A12" s="20" t="s">
        <v>99</v>
      </c>
      <c r="B12" s="38"/>
      <c r="C12" s="38"/>
      <c r="D12" s="38"/>
      <c r="E12" s="274"/>
      <c r="F12" s="38"/>
      <c r="G12" s="38"/>
      <c r="H12" s="38"/>
      <c r="I12" s="38"/>
      <c r="J12" s="38"/>
      <c r="K12" s="38"/>
      <c r="L12" s="38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</row>
    <row r="13" spans="1:221" ht="15" customHeight="1" x14ac:dyDescent="0.25">
      <c r="A13" s="21" t="s">
        <v>100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</row>
    <row r="14" spans="1:221" ht="15" customHeight="1" x14ac:dyDescent="0.25">
      <c r="A14" s="10" t="s">
        <v>101</v>
      </c>
      <c r="B14" s="39">
        <v>0</v>
      </c>
      <c r="C14" s="39">
        <v>3605152</v>
      </c>
      <c r="D14" s="39">
        <v>804843</v>
      </c>
      <c r="E14" s="39">
        <v>774207.2</v>
      </c>
      <c r="F14" s="39">
        <v>17364342.170000002</v>
      </c>
      <c r="G14" s="39">
        <v>58657.3</v>
      </c>
      <c r="H14" s="39">
        <v>3926191.08</v>
      </c>
      <c r="I14" s="39">
        <f t="shared" ref="I14:I45" si="0">B14+C14+D14+E14+F14+G14+H14</f>
        <v>26533392.75</v>
      </c>
      <c r="J14" s="39">
        <v>559328</v>
      </c>
      <c r="K14" s="753">
        <v>1287673.6299999999</v>
      </c>
      <c r="L14" s="39">
        <v>250371.5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</row>
    <row r="15" spans="1:221" ht="15" customHeight="1" x14ac:dyDescent="0.25">
      <c r="A15" s="11" t="s">
        <v>102</v>
      </c>
      <c r="B15" s="39">
        <v>0</v>
      </c>
      <c r="C15" s="39">
        <v>117935</v>
      </c>
      <c r="D15" s="39">
        <v>190566</v>
      </c>
      <c r="E15" s="39">
        <f>946766.38-727822.23</f>
        <v>218944.15000000002</v>
      </c>
      <c r="F15" s="39">
        <v>0</v>
      </c>
      <c r="G15" s="39">
        <v>839228.99</v>
      </c>
      <c r="H15" s="39">
        <v>483643.21</v>
      </c>
      <c r="I15" s="39">
        <f t="shared" si="0"/>
        <v>1850317.35</v>
      </c>
      <c r="J15" s="39">
        <v>0</v>
      </c>
      <c r="K15" s="753">
        <v>7899374.0499999998</v>
      </c>
      <c r="L15" s="39">
        <v>0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</row>
    <row r="16" spans="1:221" ht="15" customHeight="1" x14ac:dyDescent="0.25">
      <c r="A16" s="11" t="s">
        <v>103</v>
      </c>
      <c r="B16" s="39">
        <v>309328.17</v>
      </c>
      <c r="C16" s="39">
        <v>0</v>
      </c>
      <c r="D16" s="39">
        <v>0</v>
      </c>
      <c r="E16" s="39">
        <v>704</v>
      </c>
      <c r="F16" s="39">
        <v>4716.53</v>
      </c>
      <c r="G16" s="39">
        <v>4422</v>
      </c>
      <c r="H16" s="39">
        <v>0</v>
      </c>
      <c r="I16" s="39">
        <f t="shared" si="0"/>
        <v>319170.7</v>
      </c>
      <c r="J16" s="39">
        <v>0</v>
      </c>
      <c r="K16" s="753">
        <v>0</v>
      </c>
      <c r="L16" s="39">
        <v>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</row>
    <row r="17" spans="1:221" ht="15" customHeight="1" x14ac:dyDescent="0.25">
      <c r="A17" s="11" t="s">
        <v>104</v>
      </c>
      <c r="B17" s="39">
        <v>27169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f t="shared" si="0"/>
        <v>27169</v>
      </c>
      <c r="J17" s="39">
        <v>0</v>
      </c>
      <c r="K17" s="753">
        <v>0</v>
      </c>
      <c r="L17" s="39">
        <v>0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</row>
    <row r="18" spans="1:221" ht="15" customHeight="1" x14ac:dyDescent="0.25">
      <c r="A18" s="11" t="s">
        <v>105</v>
      </c>
      <c r="B18" s="39">
        <v>2753813.42</v>
      </c>
      <c r="C18" s="39">
        <v>679088</v>
      </c>
      <c r="D18" s="39">
        <v>0</v>
      </c>
      <c r="E18" s="39">
        <f>39650.95+404492.65+492673.42</f>
        <v>936817.02</v>
      </c>
      <c r="F18" s="39">
        <v>83256.38</v>
      </c>
      <c r="G18" s="39">
        <v>0</v>
      </c>
      <c r="H18" s="39">
        <v>4514285.32</v>
      </c>
      <c r="I18" s="39">
        <f t="shared" si="0"/>
        <v>8967260.1400000006</v>
      </c>
      <c r="J18" s="39">
        <v>2368979</v>
      </c>
      <c r="K18" s="753">
        <v>-6503484.5899999999</v>
      </c>
      <c r="L18" s="39">
        <v>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</row>
    <row r="19" spans="1:221" ht="15" customHeight="1" x14ac:dyDescent="0.25">
      <c r="A19" s="22" t="s">
        <v>106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39">
        <f t="shared" si="0"/>
        <v>0</v>
      </c>
      <c r="J19" s="40">
        <v>750000</v>
      </c>
      <c r="K19" s="756">
        <v>362702.37</v>
      </c>
      <c r="L19" s="40">
        <v>0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</row>
    <row r="20" spans="1:221" ht="15" customHeight="1" x14ac:dyDescent="0.25">
      <c r="A20" s="23" t="s">
        <v>107</v>
      </c>
      <c r="B20" s="41">
        <f t="shared" ref="B20:F20" si="1">SUM(B14:B19)</f>
        <v>3090310.59</v>
      </c>
      <c r="C20" s="41">
        <f t="shared" si="1"/>
        <v>4402175</v>
      </c>
      <c r="D20" s="41">
        <f t="shared" si="1"/>
        <v>995409</v>
      </c>
      <c r="E20" s="41">
        <f>SUM(E14:E19)</f>
        <v>1930672.37</v>
      </c>
      <c r="F20" s="41">
        <f t="shared" si="1"/>
        <v>17452315.080000002</v>
      </c>
      <c r="G20" s="41">
        <f>SUM(G14:G19)</f>
        <v>902308.29</v>
      </c>
      <c r="H20" s="41">
        <f>SUM(H14:H19)</f>
        <v>8924119.6099999994</v>
      </c>
      <c r="I20" s="911">
        <f t="shared" si="0"/>
        <v>37697309.939999998</v>
      </c>
      <c r="J20" s="41">
        <f>SUM(J14:J19)</f>
        <v>3678307</v>
      </c>
      <c r="K20" s="41">
        <v>3046265.46</v>
      </c>
      <c r="L20" s="41">
        <f>SUM(L14:L19)</f>
        <v>250371.5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</row>
    <row r="21" spans="1:221" ht="15" customHeight="1" x14ac:dyDescent="0.25">
      <c r="A21" s="24"/>
      <c r="B21" s="42"/>
      <c r="C21" s="42"/>
      <c r="D21" s="42"/>
      <c r="E21" s="42"/>
      <c r="F21" s="42"/>
      <c r="G21" s="42"/>
      <c r="H21" s="42"/>
      <c r="I21" s="42">
        <f t="shared" si="0"/>
        <v>0</v>
      </c>
      <c r="J21" s="42"/>
      <c r="K21" s="752"/>
      <c r="L21" s="4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</row>
    <row r="22" spans="1:221" ht="15" customHeight="1" x14ac:dyDescent="0.25">
      <c r="A22" s="25" t="s">
        <v>108</v>
      </c>
      <c r="B22" s="39"/>
      <c r="C22" s="39"/>
      <c r="D22" s="39"/>
      <c r="E22" s="39"/>
      <c r="F22" s="39"/>
      <c r="G22" s="39"/>
      <c r="H22" s="39"/>
      <c r="I22" s="39">
        <f t="shared" si="0"/>
        <v>0</v>
      </c>
      <c r="J22" s="39"/>
      <c r="K22" s="753"/>
      <c r="L22" s="39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</row>
    <row r="23" spans="1:221" ht="15" customHeight="1" x14ac:dyDescent="0.25">
      <c r="A23" s="11" t="s">
        <v>109</v>
      </c>
      <c r="B23" s="39">
        <v>930399.35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f t="shared" si="0"/>
        <v>930399.35</v>
      </c>
      <c r="J23" s="39">
        <v>0</v>
      </c>
      <c r="K23" s="753">
        <v>0</v>
      </c>
      <c r="L23" s="39">
        <v>104839.8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</row>
    <row r="24" spans="1:221" ht="15" customHeight="1" x14ac:dyDescent="0.25">
      <c r="A24" s="11" t="s">
        <v>110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f t="shared" si="0"/>
        <v>0</v>
      </c>
      <c r="J24" s="39">
        <v>0</v>
      </c>
      <c r="K24" s="753">
        <v>0</v>
      </c>
      <c r="L24" s="39">
        <v>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</row>
    <row r="25" spans="1:221" ht="15" customHeight="1" x14ac:dyDescent="0.25">
      <c r="A25" s="11" t="s">
        <v>111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f t="shared" si="0"/>
        <v>0</v>
      </c>
      <c r="J25" s="39">
        <v>0</v>
      </c>
      <c r="K25" s="753">
        <v>0</v>
      </c>
      <c r="L25" s="39">
        <v>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</row>
    <row r="26" spans="1:221" ht="15" customHeight="1" x14ac:dyDescent="0.25">
      <c r="A26" s="11" t="s">
        <v>112</v>
      </c>
      <c r="B26" s="39">
        <v>0</v>
      </c>
      <c r="C26" s="39">
        <v>0</v>
      </c>
      <c r="D26" s="39">
        <v>339857</v>
      </c>
      <c r="E26" s="39">
        <v>0</v>
      </c>
      <c r="F26" s="39">
        <v>0</v>
      </c>
      <c r="G26" s="39">
        <v>233980.37</v>
      </c>
      <c r="H26" s="39">
        <v>12121850.02</v>
      </c>
      <c r="I26" s="39">
        <f t="shared" si="0"/>
        <v>12695687.389999999</v>
      </c>
      <c r="J26" s="39"/>
      <c r="K26" s="753">
        <v>806765.08</v>
      </c>
      <c r="L26" s="39">
        <v>56115.99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</row>
    <row r="27" spans="1:221" ht="15" customHeight="1" x14ac:dyDescent="0.25">
      <c r="A27" s="11" t="s">
        <v>113</v>
      </c>
      <c r="B27" s="603">
        <v>594242</v>
      </c>
      <c r="C27" s="39">
        <v>0</v>
      </c>
      <c r="D27" s="39"/>
      <c r="E27" s="39">
        <v>0</v>
      </c>
      <c r="F27" s="39"/>
      <c r="G27" s="39"/>
      <c r="H27" s="39">
        <v>6109940.4500000002</v>
      </c>
      <c r="I27" s="39">
        <f t="shared" si="0"/>
        <v>6704182.4500000002</v>
      </c>
      <c r="J27" s="39">
        <v>0</v>
      </c>
      <c r="K27" s="753">
        <v>0</v>
      </c>
      <c r="L27" s="39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</row>
    <row r="28" spans="1:221" ht="15" customHeight="1" x14ac:dyDescent="0.25">
      <c r="A28" s="11" t="s">
        <v>114</v>
      </c>
      <c r="B28" s="39"/>
      <c r="C28" s="39">
        <v>0</v>
      </c>
      <c r="D28" s="39"/>
      <c r="E28" s="39"/>
      <c r="F28" s="39"/>
      <c r="G28" s="39"/>
      <c r="H28" s="39">
        <v>13710692.380000001</v>
      </c>
      <c r="I28" s="39">
        <f t="shared" si="0"/>
        <v>13710692.380000001</v>
      </c>
      <c r="J28" s="39">
        <v>0</v>
      </c>
      <c r="K28" s="753">
        <v>0</v>
      </c>
      <c r="L28" s="39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</row>
    <row r="29" spans="1:221" ht="15" customHeight="1" x14ac:dyDescent="0.25">
      <c r="A29" s="22" t="s">
        <v>115</v>
      </c>
      <c r="B29" s="40"/>
      <c r="C29" s="40">
        <v>20886256</v>
      </c>
      <c r="D29" s="40">
        <v>115676</v>
      </c>
      <c r="E29" s="40">
        <v>0</v>
      </c>
      <c r="F29" s="40">
        <v>0</v>
      </c>
      <c r="G29" s="40">
        <v>0</v>
      </c>
      <c r="H29" s="40">
        <v>0</v>
      </c>
      <c r="I29" s="40">
        <f t="shared" si="0"/>
        <v>21001932</v>
      </c>
      <c r="J29" s="40">
        <v>0</v>
      </c>
      <c r="K29" s="756">
        <v>0</v>
      </c>
      <c r="L29" s="40">
        <v>0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</row>
    <row r="30" spans="1:221" ht="15" customHeight="1" x14ac:dyDescent="0.25">
      <c r="A30" s="23" t="s">
        <v>116</v>
      </c>
      <c r="B30" s="612">
        <f t="shared" ref="B30:F30" si="2">SUM(B23:B29)</f>
        <v>1524641.35</v>
      </c>
      <c r="C30" s="41">
        <f t="shared" si="2"/>
        <v>20886256</v>
      </c>
      <c r="D30" s="41">
        <f t="shared" si="2"/>
        <v>455533</v>
      </c>
      <c r="E30" s="41">
        <f>SUM(E23:E29)</f>
        <v>0</v>
      </c>
      <c r="F30" s="41">
        <f t="shared" si="2"/>
        <v>0</v>
      </c>
      <c r="G30" s="41">
        <f>SUM(G23:G29)</f>
        <v>233980.37</v>
      </c>
      <c r="H30" s="41">
        <f>SUM(H23:H29)</f>
        <v>31942482.850000001</v>
      </c>
      <c r="I30" s="911">
        <f t="shared" si="0"/>
        <v>55042893.570000008</v>
      </c>
      <c r="J30" s="41">
        <f>SUM(J23:J29)</f>
        <v>0</v>
      </c>
      <c r="K30" s="41">
        <v>806765.08</v>
      </c>
      <c r="L30" s="41">
        <f>SUM(L23:L29)</f>
        <v>160955.79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</row>
    <row r="31" spans="1:221" ht="15" customHeight="1" x14ac:dyDescent="0.25">
      <c r="A31" s="24"/>
      <c r="B31" s="597"/>
      <c r="C31" s="42"/>
      <c r="D31" s="42"/>
      <c r="E31" s="42"/>
      <c r="F31" s="42"/>
      <c r="G31" s="42"/>
      <c r="H31" s="42"/>
      <c r="I31" s="42">
        <f t="shared" si="0"/>
        <v>0</v>
      </c>
      <c r="J31" s="42"/>
      <c r="K31" s="752"/>
      <c r="L31" s="4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</row>
    <row r="32" spans="1:221" ht="15" customHeight="1" x14ac:dyDescent="0.25">
      <c r="A32" s="25" t="s">
        <v>117</v>
      </c>
      <c r="B32" s="43"/>
      <c r="C32" s="43"/>
      <c r="D32" s="43"/>
      <c r="E32" s="43"/>
      <c r="F32" s="43"/>
      <c r="G32" s="43"/>
      <c r="H32" s="43"/>
      <c r="I32" s="43">
        <f t="shared" si="0"/>
        <v>0</v>
      </c>
      <c r="J32" s="43"/>
      <c r="K32" s="593"/>
      <c r="L32" s="43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</row>
    <row r="33" spans="1:221" ht="15" customHeight="1" x14ac:dyDescent="0.25">
      <c r="A33" s="13" t="s">
        <v>118</v>
      </c>
      <c r="B33" s="43">
        <v>5443059</v>
      </c>
      <c r="C33" s="43">
        <v>0</v>
      </c>
      <c r="D33" s="43">
        <f>905497.76+3138742-855900.26-897455.22</f>
        <v>2290884.2800000003</v>
      </c>
      <c r="E33" s="43">
        <f>490503.5+717148.82</f>
        <v>1207652.3199999998</v>
      </c>
      <c r="F33" s="43">
        <v>16347.59</v>
      </c>
      <c r="G33" s="43">
        <v>0</v>
      </c>
      <c r="H33" s="43">
        <v>0</v>
      </c>
      <c r="I33" s="43">
        <f t="shared" si="0"/>
        <v>8957943.1899999995</v>
      </c>
      <c r="J33" s="43"/>
      <c r="K33" s="593">
        <v>6544945.6099999994</v>
      </c>
      <c r="L33" s="43">
        <v>0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</row>
    <row r="34" spans="1:221" ht="15" customHeight="1" x14ac:dyDescent="0.25">
      <c r="A34" s="13" t="s">
        <v>119</v>
      </c>
      <c r="B34" s="43">
        <v>335716.35</v>
      </c>
      <c r="C34" s="43">
        <v>0</v>
      </c>
      <c r="D34" s="43">
        <v>2223.36</v>
      </c>
      <c r="E34" s="43">
        <f>478.84+803.77+947.58+629.61-75.46+1474.03+256.74+1279.56+32326.13+840.2+461.82+586.93+11346.3</f>
        <v>51356.05</v>
      </c>
      <c r="F34" s="43">
        <v>37644.15</v>
      </c>
      <c r="G34" s="43">
        <v>9514</v>
      </c>
      <c r="H34" s="43">
        <v>18869.2</v>
      </c>
      <c r="I34" s="43">
        <f t="shared" si="0"/>
        <v>455323.11</v>
      </c>
      <c r="J34" s="43"/>
      <c r="K34" s="593">
        <v>17398.699999999997</v>
      </c>
      <c r="L34" s="43">
        <v>0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</row>
    <row r="35" spans="1:221" ht="15" customHeight="1" x14ac:dyDescent="0.25">
      <c r="A35" s="13" t="s">
        <v>120</v>
      </c>
      <c r="B35" s="43">
        <v>600393.87</v>
      </c>
      <c r="C35" s="43">
        <v>0</v>
      </c>
      <c r="D35" s="43">
        <v>6215.23</v>
      </c>
      <c r="E35" s="43">
        <f>633.07-252.71-151.57+11078.62+860.22+1341.41+1044.96+1687.66</f>
        <v>16241.66</v>
      </c>
      <c r="F35" s="43">
        <v>0</v>
      </c>
      <c r="G35" s="43">
        <v>40446</v>
      </c>
      <c r="H35" s="43">
        <v>17176.230000000003</v>
      </c>
      <c r="I35" s="43">
        <f t="shared" si="0"/>
        <v>680472.99</v>
      </c>
      <c r="J35" s="43"/>
      <c r="K35" s="593">
        <v>33066.639999999992</v>
      </c>
      <c r="L35" s="43">
        <v>0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</row>
    <row r="36" spans="1:221" ht="15" customHeight="1" x14ac:dyDescent="0.25">
      <c r="A36" s="13" t="s">
        <v>121</v>
      </c>
      <c r="B36" s="43">
        <v>0</v>
      </c>
      <c r="C36" s="43">
        <v>0</v>
      </c>
      <c r="D36" s="43">
        <v>7012.86</v>
      </c>
      <c r="E36" s="43">
        <f>39.19-143.58+21853.37+760.14+92.73+3528.2-140.68+537.65+145.93</f>
        <v>26672.95</v>
      </c>
      <c r="F36" s="43">
        <v>37094.44</v>
      </c>
      <c r="G36" s="43">
        <v>5349</v>
      </c>
      <c r="H36" s="43">
        <v>0</v>
      </c>
      <c r="I36" s="43">
        <f t="shared" si="0"/>
        <v>76129.25</v>
      </c>
      <c r="J36" s="43"/>
      <c r="K36" s="593">
        <v>1564.1399999999703</v>
      </c>
      <c r="L36" s="43">
        <v>8763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</row>
    <row r="37" spans="1:221" ht="15" customHeight="1" x14ac:dyDescent="0.25">
      <c r="A37" s="13" t="s">
        <v>122</v>
      </c>
      <c r="B37" s="43">
        <v>624824.87</v>
      </c>
      <c r="C37" s="43">
        <v>0</v>
      </c>
      <c r="D37" s="43">
        <v>30680.91</v>
      </c>
      <c r="E37" s="43">
        <v>8965</v>
      </c>
      <c r="F37" s="43">
        <v>9785.0499999999993</v>
      </c>
      <c r="G37" s="43">
        <v>0</v>
      </c>
      <c r="H37" s="43">
        <v>0</v>
      </c>
      <c r="I37" s="43">
        <f t="shared" si="0"/>
        <v>674255.83000000007</v>
      </c>
      <c r="J37" s="43"/>
      <c r="K37" s="593">
        <v>211159.59000000003</v>
      </c>
      <c r="L37" s="43">
        <v>44041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</row>
    <row r="38" spans="1:221" ht="15" customHeight="1" x14ac:dyDescent="0.25">
      <c r="A38" s="13" t="s">
        <v>123</v>
      </c>
      <c r="B38" s="43">
        <v>2558794.1800000002</v>
      </c>
      <c r="C38" s="44">
        <v>549815</v>
      </c>
      <c r="D38" s="44">
        <f>2800022.18+298753</f>
        <v>3098775.18</v>
      </c>
      <c r="E38" s="44">
        <v>0</v>
      </c>
      <c r="F38" s="44">
        <v>195887.57</v>
      </c>
      <c r="G38" s="44">
        <v>0</v>
      </c>
      <c r="H38" s="44">
        <v>0</v>
      </c>
      <c r="I38" s="44">
        <f t="shared" si="0"/>
        <v>6403271.9300000006</v>
      </c>
      <c r="J38" s="44"/>
      <c r="K38" s="593">
        <v>12220689.800000001</v>
      </c>
      <c r="L38" s="44">
        <v>62477.26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</row>
    <row r="39" spans="1:221" ht="15" customHeight="1" x14ac:dyDescent="0.25">
      <c r="A39" s="23" t="s">
        <v>124</v>
      </c>
      <c r="B39" s="614">
        <f t="shared" ref="B39:F39" si="3">SUM(B32:B38)</f>
        <v>9562788.2699999996</v>
      </c>
      <c r="C39" s="41">
        <f t="shared" si="3"/>
        <v>549815</v>
      </c>
      <c r="D39" s="41">
        <f t="shared" si="3"/>
        <v>5435791.8200000003</v>
      </c>
      <c r="E39" s="41">
        <f t="shared" si="3"/>
        <v>1310887.9799999997</v>
      </c>
      <c r="F39" s="41">
        <f t="shared" si="3"/>
        <v>296758.80000000005</v>
      </c>
      <c r="G39" s="41">
        <f>SUM(G32:G38)</f>
        <v>55309</v>
      </c>
      <c r="H39" s="41">
        <f>SUM(H32:H38)</f>
        <v>36045.430000000008</v>
      </c>
      <c r="I39" s="911">
        <f t="shared" si="0"/>
        <v>17247396.300000001</v>
      </c>
      <c r="J39" s="41">
        <f>SUM(J32:J38)</f>
        <v>0</v>
      </c>
      <c r="K39" s="54">
        <v>19028824.48</v>
      </c>
      <c r="L39" s="41">
        <f>SUM(L32:L38)</f>
        <v>115281.26000000001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</row>
    <row r="40" spans="1:221" ht="15" customHeight="1" x14ac:dyDescent="0.25">
      <c r="A40" s="26"/>
      <c r="B40" s="45"/>
      <c r="C40" s="45"/>
      <c r="D40" s="45"/>
      <c r="E40" s="45"/>
      <c r="F40" s="45"/>
      <c r="G40" s="45"/>
      <c r="H40" s="45"/>
      <c r="I40" s="42">
        <f t="shared" si="0"/>
        <v>0</v>
      </c>
      <c r="J40" s="45"/>
      <c r="K40" s="755"/>
      <c r="L40" s="45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</row>
    <row r="41" spans="1:221" ht="15" customHeight="1" x14ac:dyDescent="0.25">
      <c r="A41" s="21" t="s">
        <v>125</v>
      </c>
      <c r="B41" s="39">
        <v>70842.009999999995</v>
      </c>
      <c r="C41" s="39">
        <v>0</v>
      </c>
      <c r="D41" s="39">
        <v>0</v>
      </c>
      <c r="E41" s="39">
        <v>0</v>
      </c>
      <c r="F41" s="39">
        <v>0</v>
      </c>
      <c r="G41" s="39">
        <f>208123.06-10406.15</f>
        <v>197716.91</v>
      </c>
      <c r="H41" s="39">
        <v>77319.840000000011</v>
      </c>
      <c r="I41" s="39">
        <f t="shared" si="0"/>
        <v>345878.76</v>
      </c>
      <c r="J41" s="39">
        <v>0</v>
      </c>
      <c r="K41" s="753">
        <v>0</v>
      </c>
      <c r="L41" s="39">
        <v>0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</row>
    <row r="42" spans="1:221" ht="15" customHeight="1" x14ac:dyDescent="0.25">
      <c r="A42" s="27"/>
      <c r="B42" s="44"/>
      <c r="C42" s="44"/>
      <c r="D42" s="44"/>
      <c r="E42" s="44"/>
      <c r="F42" s="44"/>
      <c r="G42" s="44"/>
      <c r="H42" s="44"/>
      <c r="I42" s="44">
        <f t="shared" si="0"/>
        <v>0</v>
      </c>
      <c r="J42" s="44"/>
      <c r="K42" s="751"/>
      <c r="L42" s="44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</row>
    <row r="43" spans="1:221" ht="15" customHeight="1" x14ac:dyDescent="0.25">
      <c r="A43" s="23" t="s">
        <v>126</v>
      </c>
      <c r="B43" s="41">
        <f t="shared" ref="B43:F43" si="4">B20+B30+B39+B41</f>
        <v>14248582.219999999</v>
      </c>
      <c r="C43" s="41">
        <f t="shared" si="4"/>
        <v>25838246</v>
      </c>
      <c r="D43" s="41">
        <f t="shared" si="4"/>
        <v>6886733.8200000003</v>
      </c>
      <c r="E43" s="41">
        <f>E20+E30+E39+E41</f>
        <v>3241560.3499999996</v>
      </c>
      <c r="F43" s="41">
        <f t="shared" si="4"/>
        <v>17749073.880000003</v>
      </c>
      <c r="G43" s="41">
        <f>G20+G30+G39+G41</f>
        <v>1389314.57</v>
      </c>
      <c r="H43" s="41">
        <f>H20+H30+H39+H41</f>
        <v>40979967.730000004</v>
      </c>
      <c r="I43" s="911">
        <f t="shared" si="0"/>
        <v>110333478.57000001</v>
      </c>
      <c r="J43" s="41">
        <f>J20+J30+J39+J41</f>
        <v>3678307</v>
      </c>
      <c r="K43" s="54">
        <v>22881855.02</v>
      </c>
      <c r="L43" s="41">
        <f>L20+L30+L39+L41</f>
        <v>526608.55000000005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</row>
    <row r="44" spans="1:221" ht="15" customHeight="1" x14ac:dyDescent="0.25">
      <c r="A44" s="28"/>
      <c r="B44" s="611"/>
      <c r="C44" s="46"/>
      <c r="D44" s="46"/>
      <c r="E44" s="46"/>
      <c r="F44" s="46"/>
      <c r="G44" s="46"/>
      <c r="H44" s="46"/>
      <c r="I44" s="46">
        <f t="shared" si="0"/>
        <v>0</v>
      </c>
      <c r="J44" s="46"/>
      <c r="K44" s="754"/>
      <c r="L44" s="46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</row>
    <row r="45" spans="1:221" ht="15" customHeight="1" x14ac:dyDescent="0.25">
      <c r="A45" s="21" t="s">
        <v>127</v>
      </c>
      <c r="B45" s="606"/>
      <c r="C45" s="43"/>
      <c r="D45" s="43"/>
      <c r="E45" s="43"/>
      <c r="F45" s="43"/>
      <c r="G45" s="43"/>
      <c r="H45" s="43"/>
      <c r="I45" s="43">
        <f t="shared" si="0"/>
        <v>0</v>
      </c>
      <c r="J45" s="43"/>
      <c r="K45" s="593"/>
      <c r="L45" s="43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</row>
    <row r="46" spans="1:221" ht="15" customHeight="1" x14ac:dyDescent="0.25">
      <c r="A46" s="29"/>
      <c r="B46" s="606"/>
      <c r="C46" s="43"/>
      <c r="D46" s="43"/>
      <c r="E46" s="43"/>
      <c r="F46" s="43"/>
      <c r="G46" s="43"/>
      <c r="H46" s="43"/>
      <c r="I46" s="43">
        <f t="shared" ref="I46:I77" si="5">B46+C46+D46+E46+F46+G46+H46</f>
        <v>0</v>
      </c>
      <c r="J46" s="43"/>
      <c r="K46" s="593"/>
      <c r="L46" s="43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</row>
    <row r="47" spans="1:221" ht="15" customHeight="1" x14ac:dyDescent="0.25">
      <c r="A47" s="21" t="s">
        <v>128</v>
      </c>
      <c r="B47" s="608"/>
      <c r="C47" s="39"/>
      <c r="D47" s="39"/>
      <c r="E47" s="39"/>
      <c r="F47" s="39"/>
      <c r="G47" s="39"/>
      <c r="H47" s="39"/>
      <c r="I47" s="39">
        <f t="shared" si="5"/>
        <v>0</v>
      </c>
      <c r="J47" s="39"/>
      <c r="K47" s="753"/>
      <c r="L47" s="39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</row>
    <row r="48" spans="1:221" ht="15" customHeight="1" x14ac:dyDescent="0.25">
      <c r="A48" s="13" t="s">
        <v>129</v>
      </c>
      <c r="B48" s="606">
        <v>7756390.46</v>
      </c>
      <c r="C48" s="43">
        <v>136574</v>
      </c>
      <c r="D48" s="43">
        <v>251556</v>
      </c>
      <c r="E48" s="43">
        <f>621542.96-242483</f>
        <v>379059.95999999996</v>
      </c>
      <c r="F48" s="43">
        <v>68867.62</v>
      </c>
      <c r="G48" s="43">
        <v>51999.11</v>
      </c>
      <c r="H48" s="43">
        <v>214656.98</v>
      </c>
      <c r="I48" s="43">
        <f t="shared" si="5"/>
        <v>8859104.129999999</v>
      </c>
      <c r="J48" s="305">
        <v>3000000</v>
      </c>
      <c r="K48" s="593">
        <v>12864814.58</v>
      </c>
      <c r="L48" s="43">
        <v>0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</row>
    <row r="49" spans="1:221" ht="15" customHeight="1" x14ac:dyDescent="0.25">
      <c r="A49" s="16" t="s">
        <v>130</v>
      </c>
      <c r="B49" s="606">
        <v>80810.94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f t="shared" si="5"/>
        <v>80810.94</v>
      </c>
      <c r="J49" s="43">
        <v>0</v>
      </c>
      <c r="K49" s="593">
        <v>0</v>
      </c>
      <c r="L49" s="43">
        <v>0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</row>
    <row r="50" spans="1:221" ht="15" customHeight="1" x14ac:dyDescent="0.25">
      <c r="A50" s="16" t="s">
        <v>131</v>
      </c>
      <c r="B50" s="606">
        <v>513849.02</v>
      </c>
      <c r="C50" s="43">
        <v>0</v>
      </c>
      <c r="D50" s="43">
        <v>0</v>
      </c>
      <c r="E50" s="43">
        <v>0</v>
      </c>
      <c r="F50" s="43">
        <v>0</v>
      </c>
      <c r="G50" s="43">
        <v>0</v>
      </c>
      <c r="H50" s="43">
        <v>549.08000000000004</v>
      </c>
      <c r="I50" s="43">
        <f t="shared" si="5"/>
        <v>514398.10000000003</v>
      </c>
      <c r="J50" s="43">
        <v>0</v>
      </c>
      <c r="K50" s="593">
        <v>0</v>
      </c>
      <c r="L50" s="43">
        <v>0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</row>
    <row r="51" spans="1:221" ht="15" customHeight="1" x14ac:dyDescent="0.25">
      <c r="A51" s="16" t="s">
        <v>132</v>
      </c>
      <c r="B51" s="15">
        <v>44349.599999999999</v>
      </c>
      <c r="C51" s="43">
        <v>0</v>
      </c>
      <c r="D51" s="43">
        <v>0</v>
      </c>
      <c r="E51" s="43">
        <v>0</v>
      </c>
      <c r="F51" s="43"/>
      <c r="G51" s="43">
        <v>0</v>
      </c>
      <c r="H51" s="43">
        <v>400737.28000000003</v>
      </c>
      <c r="I51" s="43">
        <f t="shared" si="5"/>
        <v>445086.88</v>
      </c>
      <c r="J51" s="43">
        <v>0</v>
      </c>
      <c r="K51" s="593">
        <v>0</v>
      </c>
      <c r="L51" s="43">
        <v>0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</row>
    <row r="52" spans="1:221" ht="15" customHeight="1" x14ac:dyDescent="0.25">
      <c r="A52" s="16" t="s">
        <v>133</v>
      </c>
      <c r="B52" s="606">
        <v>0</v>
      </c>
      <c r="C52" s="43">
        <v>78614</v>
      </c>
      <c r="D52" s="43">
        <v>0</v>
      </c>
      <c r="E52" s="43">
        <v>4597.2700000000004</v>
      </c>
      <c r="F52" s="43">
        <v>0</v>
      </c>
      <c r="G52" s="43">
        <v>0</v>
      </c>
      <c r="H52" s="43">
        <v>59265.26</v>
      </c>
      <c r="I52" s="43">
        <f t="shared" si="5"/>
        <v>142476.53</v>
      </c>
      <c r="J52" s="43">
        <v>0</v>
      </c>
      <c r="K52" s="593">
        <v>0</v>
      </c>
      <c r="L52" s="43">
        <v>0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</row>
    <row r="53" spans="1:221" ht="15" customHeight="1" x14ac:dyDescent="0.25">
      <c r="A53" s="16" t="s">
        <v>134</v>
      </c>
      <c r="B53" s="606">
        <v>1501782.63</v>
      </c>
      <c r="C53" s="43">
        <v>0</v>
      </c>
      <c r="D53" s="43">
        <v>0</v>
      </c>
      <c r="E53" s="43">
        <v>0</v>
      </c>
      <c r="F53" s="43">
        <v>8468314.4399999995</v>
      </c>
      <c r="G53" s="43">
        <v>0</v>
      </c>
      <c r="H53" s="43">
        <v>7.68</v>
      </c>
      <c r="I53" s="43">
        <f t="shared" si="5"/>
        <v>9970104.75</v>
      </c>
      <c r="J53" s="43">
        <v>0</v>
      </c>
      <c r="K53" s="593">
        <v>0</v>
      </c>
      <c r="L53" s="43">
        <v>0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</row>
    <row r="54" spans="1:221" ht="15" customHeight="1" x14ac:dyDescent="0.25">
      <c r="A54" s="13" t="s">
        <v>135</v>
      </c>
      <c r="B54" s="606"/>
      <c r="C54" s="43">
        <v>0</v>
      </c>
      <c r="D54" s="43">
        <v>0</v>
      </c>
      <c r="E54" s="43">
        <f>10509.27-992.86-514.35-134.1</f>
        <v>8867.9599999999991</v>
      </c>
      <c r="F54" s="43">
        <v>136164.99</v>
      </c>
      <c r="G54" s="43">
        <v>0</v>
      </c>
      <c r="H54" s="43">
        <v>0</v>
      </c>
      <c r="I54" s="43">
        <f t="shared" si="5"/>
        <v>145032.94999999998</v>
      </c>
      <c r="J54" s="43">
        <v>0</v>
      </c>
      <c r="K54" s="593">
        <v>0</v>
      </c>
      <c r="L54" s="43">
        <v>0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</row>
    <row r="55" spans="1:221" ht="15" customHeight="1" x14ac:dyDescent="0.25">
      <c r="A55" s="13" t="s">
        <v>136</v>
      </c>
      <c r="B55" s="606">
        <v>0</v>
      </c>
      <c r="C55" s="43">
        <v>0</v>
      </c>
      <c r="D55" s="43">
        <v>0</v>
      </c>
      <c r="E55" s="823"/>
      <c r="F55" s="43">
        <v>0</v>
      </c>
      <c r="G55" s="43">
        <v>0</v>
      </c>
      <c r="H55" s="43">
        <v>0</v>
      </c>
      <c r="I55" s="43">
        <f t="shared" si="5"/>
        <v>0</v>
      </c>
      <c r="J55" s="43">
        <v>0</v>
      </c>
      <c r="K55" s="593">
        <v>0</v>
      </c>
      <c r="L55" s="43">
        <v>0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</row>
    <row r="56" spans="1:221" ht="15" customHeight="1" x14ac:dyDescent="0.25">
      <c r="A56" s="14" t="s">
        <v>137</v>
      </c>
      <c r="B56" s="604"/>
      <c r="C56" s="44">
        <v>0</v>
      </c>
      <c r="D56" s="44">
        <f>15855+41999</f>
        <v>57854</v>
      </c>
      <c r="E56" s="44">
        <v>0</v>
      </c>
      <c r="F56" s="44">
        <v>0</v>
      </c>
      <c r="G56" s="44">
        <v>0</v>
      </c>
      <c r="H56" s="44">
        <v>0</v>
      </c>
      <c r="I56" s="44">
        <f t="shared" si="5"/>
        <v>57854</v>
      </c>
      <c r="J56" s="44">
        <v>0</v>
      </c>
      <c r="K56" s="593">
        <v>6306436.54</v>
      </c>
      <c r="L56" s="44">
        <v>0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</row>
    <row r="57" spans="1:221" ht="15" customHeight="1" x14ac:dyDescent="0.25">
      <c r="A57" s="23" t="s">
        <v>138</v>
      </c>
      <c r="B57" s="41">
        <f t="shared" ref="B57:F57" si="6">SUM(B48:B56)</f>
        <v>9897182.6499999985</v>
      </c>
      <c r="C57" s="41">
        <f t="shared" si="6"/>
        <v>215188</v>
      </c>
      <c r="D57" s="41">
        <f t="shared" si="6"/>
        <v>309410</v>
      </c>
      <c r="E57" s="41">
        <f>SUM(E48:E56)</f>
        <v>392525.19</v>
      </c>
      <c r="F57" s="41">
        <f t="shared" si="6"/>
        <v>8673347.0499999989</v>
      </c>
      <c r="G57" s="41">
        <f>SUM(G48:G56)</f>
        <v>51999.11</v>
      </c>
      <c r="H57" s="41">
        <f>SUM(H48:H56)</f>
        <v>675216.28000000014</v>
      </c>
      <c r="I57" s="911">
        <f t="shared" si="5"/>
        <v>20214868.279999997</v>
      </c>
      <c r="J57" s="41">
        <f>SUM(J48:J56)</f>
        <v>3000000</v>
      </c>
      <c r="K57" s="54">
        <v>19171251.120000001</v>
      </c>
      <c r="L57" s="41">
        <f>SUM(L48:L56)</f>
        <v>0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</row>
    <row r="58" spans="1:221" ht="15" customHeight="1" x14ac:dyDescent="0.25">
      <c r="A58" s="30"/>
      <c r="B58" s="42"/>
      <c r="C58" s="42"/>
      <c r="D58" s="42"/>
      <c r="E58" s="42"/>
      <c r="F58" s="42"/>
      <c r="G58" s="42"/>
      <c r="H58" s="42"/>
      <c r="I58" s="42">
        <f t="shared" si="5"/>
        <v>0</v>
      </c>
      <c r="J58" s="42"/>
      <c r="K58" s="42"/>
      <c r="L58" s="4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</row>
    <row r="59" spans="1:221" ht="15" customHeight="1" x14ac:dyDescent="0.25">
      <c r="A59" s="21" t="s">
        <v>139</v>
      </c>
      <c r="B59" s="43"/>
      <c r="C59" s="43"/>
      <c r="D59" s="43"/>
      <c r="E59" s="43"/>
      <c r="F59" s="43"/>
      <c r="G59" s="43"/>
      <c r="H59" s="43"/>
      <c r="I59" s="43">
        <f t="shared" si="5"/>
        <v>0</v>
      </c>
      <c r="J59" s="43"/>
      <c r="K59" s="43"/>
      <c r="L59" s="43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</row>
    <row r="60" spans="1:221" ht="15" customHeight="1" x14ac:dyDescent="0.25">
      <c r="A60" s="13" t="s">
        <v>140</v>
      </c>
      <c r="B60" s="599">
        <f>3780590.99+770497.61</f>
        <v>4551088.6000000006</v>
      </c>
      <c r="C60" s="43">
        <v>4942755</v>
      </c>
      <c r="D60" s="43">
        <v>2275627</v>
      </c>
      <c r="E60" s="43">
        <v>40539</v>
      </c>
      <c r="F60" s="43">
        <v>0</v>
      </c>
      <c r="G60" s="43">
        <v>0</v>
      </c>
      <c r="H60" s="43">
        <v>0</v>
      </c>
      <c r="I60" s="43">
        <f t="shared" si="5"/>
        <v>11810009.600000001</v>
      </c>
      <c r="J60" s="43">
        <v>0</v>
      </c>
      <c r="K60" s="43">
        <v>5676880.6299999999</v>
      </c>
      <c r="L60" s="43">
        <v>0</v>
      </c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</row>
    <row r="61" spans="1:221" ht="15" customHeight="1" x14ac:dyDescent="0.25">
      <c r="A61" s="13" t="s">
        <v>141</v>
      </c>
      <c r="B61" s="43">
        <f>718923.9+412940.22+116150.76</f>
        <v>1248014.8800000001</v>
      </c>
      <c r="C61" s="43">
        <v>391158</v>
      </c>
      <c r="D61" s="43">
        <v>78433</v>
      </c>
      <c r="E61" s="43">
        <v>0</v>
      </c>
      <c r="F61" s="43">
        <v>0</v>
      </c>
      <c r="G61" s="43">
        <v>199992.76</v>
      </c>
      <c r="H61" s="43">
        <v>0</v>
      </c>
      <c r="I61" s="43">
        <f t="shared" si="5"/>
        <v>1917598.6400000001</v>
      </c>
      <c r="J61" s="43">
        <v>0</v>
      </c>
      <c r="K61" s="43">
        <v>5277183.7299999995</v>
      </c>
      <c r="L61" s="43">
        <v>0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</row>
    <row r="62" spans="1:221" ht="15" customHeight="1" x14ac:dyDescent="0.25">
      <c r="A62" s="13"/>
      <c r="B62" s="43"/>
      <c r="C62" s="44"/>
      <c r="D62" s="44"/>
      <c r="E62" s="44"/>
      <c r="F62" s="44"/>
      <c r="G62" s="44"/>
      <c r="H62" s="44"/>
      <c r="I62" s="44">
        <f t="shared" si="5"/>
        <v>0</v>
      </c>
      <c r="J62" s="44"/>
      <c r="K62" s="751"/>
      <c r="L62" s="44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</row>
    <row r="63" spans="1:221" ht="15" customHeight="1" x14ac:dyDescent="0.25">
      <c r="A63" s="23" t="s">
        <v>142</v>
      </c>
      <c r="B63" s="41">
        <f>SUM(B60:B61)</f>
        <v>5799103.4800000004</v>
      </c>
      <c r="C63" s="41">
        <f t="shared" ref="C63:H63" si="7">SUM(C60:C62)</f>
        <v>5333913</v>
      </c>
      <c r="D63" s="41">
        <f t="shared" si="7"/>
        <v>2354060</v>
      </c>
      <c r="E63" s="41">
        <f t="shared" si="7"/>
        <v>40539</v>
      </c>
      <c r="F63" s="41">
        <f t="shared" si="7"/>
        <v>0</v>
      </c>
      <c r="G63" s="41">
        <f t="shared" si="7"/>
        <v>199992.76</v>
      </c>
      <c r="H63" s="41">
        <f t="shared" si="7"/>
        <v>0</v>
      </c>
      <c r="I63" s="911">
        <f t="shared" si="5"/>
        <v>13727608.24</v>
      </c>
      <c r="J63" s="41">
        <f>SUM(J60:J62)</f>
        <v>0</v>
      </c>
      <c r="K63" s="54">
        <v>10954064.359999999</v>
      </c>
      <c r="L63" s="41">
        <f>SUM(L60:L62)</f>
        <v>0</v>
      </c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</row>
    <row r="64" spans="1:221" ht="15" customHeight="1" x14ac:dyDescent="0.25">
      <c r="A64" s="30"/>
      <c r="B64" s="55"/>
      <c r="C64" s="42"/>
      <c r="D64" s="42"/>
      <c r="E64" s="42"/>
      <c r="F64" s="42"/>
      <c r="G64" s="42"/>
      <c r="H64" s="42"/>
      <c r="I64" s="42">
        <f t="shared" si="5"/>
        <v>0</v>
      </c>
      <c r="J64" s="42"/>
      <c r="K64" s="752"/>
      <c r="L64" s="4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</row>
    <row r="65" spans="1:221" ht="15" customHeight="1" x14ac:dyDescent="0.25">
      <c r="A65" s="21" t="s">
        <v>143</v>
      </c>
      <c r="B65" s="15"/>
      <c r="C65" s="43"/>
      <c r="D65" s="43"/>
      <c r="E65" s="43"/>
      <c r="F65" s="43"/>
      <c r="G65" s="43"/>
      <c r="H65" s="43"/>
      <c r="I65" s="43">
        <f t="shared" si="5"/>
        <v>0</v>
      </c>
      <c r="J65" s="43"/>
      <c r="K65" s="593"/>
      <c r="L65" s="43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</row>
    <row r="66" spans="1:221" ht="15" customHeight="1" x14ac:dyDescent="0.25">
      <c r="A66" s="13" t="s">
        <v>144</v>
      </c>
      <c r="B66" s="15">
        <v>0</v>
      </c>
      <c r="C66" s="43">
        <v>9555698</v>
      </c>
      <c r="D66" s="43">
        <v>4650310</v>
      </c>
      <c r="E66" s="43">
        <f>2550339.64-76077.94+54538.44</f>
        <v>2528800.14</v>
      </c>
      <c r="F66" s="43">
        <v>0</v>
      </c>
      <c r="G66" s="43">
        <v>741880.72</v>
      </c>
      <c r="H66" s="43">
        <v>41094065.409999996</v>
      </c>
      <c r="I66" s="43">
        <f t="shared" si="5"/>
        <v>58570754.269999996</v>
      </c>
      <c r="J66" s="43">
        <v>0</v>
      </c>
      <c r="K66" s="593">
        <v>19945622.030000001</v>
      </c>
      <c r="L66" s="43">
        <v>0</v>
      </c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</row>
    <row r="67" spans="1:221" ht="15" customHeight="1" x14ac:dyDescent="0.25">
      <c r="A67" s="13" t="s">
        <v>145</v>
      </c>
      <c r="B67" s="15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f t="shared" si="5"/>
        <v>0</v>
      </c>
      <c r="J67" s="43">
        <v>0</v>
      </c>
      <c r="K67" s="593">
        <v>0</v>
      </c>
      <c r="L67" s="43">
        <v>0</v>
      </c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</row>
    <row r="68" spans="1:221" ht="15" customHeight="1" x14ac:dyDescent="0.25">
      <c r="A68" s="13" t="s">
        <v>146</v>
      </c>
      <c r="B68" s="15"/>
      <c r="C68" s="43">
        <v>0</v>
      </c>
      <c r="D68" s="43">
        <v>0</v>
      </c>
      <c r="E68" s="43">
        <v>0</v>
      </c>
      <c r="F68" s="43">
        <v>8121241.7400000002</v>
      </c>
      <c r="G68" s="43">
        <v>0</v>
      </c>
      <c r="H68" s="43">
        <v>-2787.58</v>
      </c>
      <c r="I68" s="43">
        <f t="shared" si="5"/>
        <v>8118454.1600000001</v>
      </c>
      <c r="J68" s="43">
        <v>0</v>
      </c>
      <c r="K68" s="593">
        <v>0</v>
      </c>
      <c r="L68" s="43">
        <v>0</v>
      </c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</row>
    <row r="69" spans="1:221" ht="15" customHeight="1" x14ac:dyDescent="0.25">
      <c r="A69" s="14" t="s">
        <v>147</v>
      </c>
      <c r="B69" s="56">
        <v>-1447704</v>
      </c>
      <c r="C69" s="44">
        <v>10733447</v>
      </c>
      <c r="D69" s="44">
        <f>306486-733532</f>
        <v>-427046</v>
      </c>
      <c r="E69" s="44">
        <v>279695.40000000002</v>
      </c>
      <c r="F69" s="44">
        <v>954485.09</v>
      </c>
      <c r="G69" s="44">
        <v>395441.84</v>
      </c>
      <c r="H69" s="44">
        <v>-786526.35</v>
      </c>
      <c r="I69" s="44">
        <f t="shared" si="5"/>
        <v>9701792.9800000004</v>
      </c>
      <c r="J69" s="44">
        <v>0</v>
      </c>
      <c r="K69" s="751">
        <v>-27212128.710000001</v>
      </c>
      <c r="L69" s="44">
        <v>156152.91</v>
      </c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</row>
    <row r="70" spans="1:221" ht="15" customHeight="1" x14ac:dyDescent="0.25">
      <c r="A70" s="23" t="s">
        <v>148</v>
      </c>
      <c r="B70" s="54">
        <f t="shared" ref="B70:F70" si="8">SUM(B66:B69)</f>
        <v>-1447704</v>
      </c>
      <c r="C70" s="41">
        <f t="shared" si="8"/>
        <v>20289145</v>
      </c>
      <c r="D70" s="41">
        <f t="shared" si="8"/>
        <v>4223264</v>
      </c>
      <c r="E70" s="41">
        <f t="shared" si="8"/>
        <v>2808495.54</v>
      </c>
      <c r="F70" s="41">
        <f t="shared" si="8"/>
        <v>9075726.8300000001</v>
      </c>
      <c r="G70" s="41">
        <f>SUM(G66:G69)</f>
        <v>1137322.56</v>
      </c>
      <c r="H70" s="41">
        <f>SUM(H66:H69)</f>
        <v>40304751.479999997</v>
      </c>
      <c r="I70" s="911">
        <f t="shared" si="5"/>
        <v>76391001.409999996</v>
      </c>
      <c r="J70" s="41">
        <f>SUM(J66:J69)</f>
        <v>0</v>
      </c>
      <c r="K70" s="54">
        <v>-7266506.6799999997</v>
      </c>
      <c r="L70" s="41">
        <f>SUM(L66:L69)</f>
        <v>156152.91</v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</row>
    <row r="71" spans="1:221" ht="15.75" customHeight="1" x14ac:dyDescent="0.25">
      <c r="A71" s="32"/>
      <c r="B71" s="47"/>
      <c r="C71" s="47"/>
      <c r="D71" s="47"/>
      <c r="E71" s="47"/>
      <c r="F71" s="47"/>
      <c r="G71" s="47"/>
      <c r="H71" s="47"/>
      <c r="I71" s="47">
        <f t="shared" si="5"/>
        <v>0</v>
      </c>
      <c r="J71" s="47"/>
      <c r="K71" s="749"/>
      <c r="L71" s="47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</row>
    <row r="72" spans="1:221" ht="16.5" customHeight="1" x14ac:dyDescent="0.25">
      <c r="A72" s="33" t="s">
        <v>149</v>
      </c>
      <c r="B72" s="48">
        <f t="shared" ref="B72:F72" si="9">B70+B63+B57</f>
        <v>14248582.129999999</v>
      </c>
      <c r="C72" s="48">
        <f t="shared" si="9"/>
        <v>25838246</v>
      </c>
      <c r="D72" s="48">
        <f t="shared" si="9"/>
        <v>6886734</v>
      </c>
      <c r="E72" s="48">
        <f>E70+E63+E57</f>
        <v>3241559.73</v>
      </c>
      <c r="F72" s="48">
        <f t="shared" si="9"/>
        <v>17749073.879999999</v>
      </c>
      <c r="G72" s="48">
        <f>G70+G63+G57</f>
        <v>1389314.4300000002</v>
      </c>
      <c r="H72" s="48">
        <f>H70+H63+H57</f>
        <v>40979967.759999998</v>
      </c>
      <c r="I72" s="912">
        <f t="shared" si="5"/>
        <v>110333477.93000001</v>
      </c>
      <c r="J72" s="48">
        <f>J70+J63+J57</f>
        <v>3000000</v>
      </c>
      <c r="K72" s="798">
        <v>22858808.800000001</v>
      </c>
      <c r="L72" s="48">
        <f>L70+L63+L57</f>
        <v>156152.91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</row>
    <row r="73" spans="1:221" x14ac:dyDescent="0.25">
      <c r="B73" s="305"/>
    </row>
    <row r="76" spans="1:221" x14ac:dyDescent="0.25">
      <c r="B76" s="305"/>
    </row>
  </sheetData>
  <mergeCells count="6">
    <mergeCell ref="A6:B6"/>
    <mergeCell ref="C4:M4"/>
    <mergeCell ref="C5:M5"/>
    <mergeCell ref="A1:B1"/>
    <mergeCell ref="A3:B3"/>
    <mergeCell ref="A5:B5"/>
  </mergeCells>
  <pageMargins left="0.2" right="0.2" top="0.25" bottom="0.25" header="0.3" footer="0.3"/>
  <pageSetup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E88"/>
  <sheetViews>
    <sheetView zoomScale="61" zoomScaleNormal="6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E1" sqref="AE1:AE1048576"/>
    </sheetView>
  </sheetViews>
  <sheetFormatPr defaultRowHeight="15" x14ac:dyDescent="0.25"/>
  <cols>
    <col min="1" max="1" width="53.42578125" style="8" customWidth="1"/>
    <col min="2" max="2" width="18.42578125" style="8" customWidth="1"/>
    <col min="3" max="3" width="16.42578125" style="8" customWidth="1"/>
    <col min="4" max="4" width="13.140625" style="8" customWidth="1"/>
    <col min="5" max="5" width="7.42578125" style="8" customWidth="1"/>
    <col min="6" max="6" width="1" style="8" customWidth="1"/>
    <col min="7" max="7" width="16" style="8" customWidth="1"/>
    <col min="8" max="8" width="18.28515625" style="8" customWidth="1"/>
    <col min="9" max="9" width="15" style="8" customWidth="1"/>
    <col min="10" max="10" width="13.85546875" style="8" customWidth="1"/>
    <col min="11" max="11" width="1.140625" style="8" customWidth="1"/>
    <col min="12" max="12" width="14" style="8" hidden="1" customWidth="1"/>
    <col min="13" max="13" width="14.140625" style="8" hidden="1" customWidth="1"/>
    <col min="14" max="14" width="12.85546875" style="8" hidden="1" customWidth="1"/>
    <col min="15" max="15" width="6.85546875" style="8" hidden="1" customWidth="1"/>
    <col min="16" max="16" width="1" style="8" hidden="1" customWidth="1"/>
    <col min="17" max="17" width="13.85546875" style="8" hidden="1" customWidth="1"/>
    <col min="18" max="18" width="13.140625" style="8" hidden="1" customWidth="1"/>
    <col min="19" max="19" width="12.85546875" style="8" hidden="1" customWidth="1"/>
    <col min="20" max="20" width="7.7109375" style="8" hidden="1" customWidth="1"/>
    <col min="21" max="21" width="1.28515625" style="8" hidden="1" customWidth="1"/>
    <col min="22" max="22" width="18.7109375" style="8" customWidth="1"/>
    <col min="23" max="23" width="20.28515625" style="8" customWidth="1"/>
    <col min="24" max="24" width="19.140625" style="8" customWidth="1"/>
    <col min="25" max="25" width="10.5703125" style="8" customWidth="1"/>
    <col min="26" max="26" width="1" style="8" customWidth="1"/>
    <col min="27" max="27" width="23.28515625" style="8" customWidth="1"/>
    <col min="28" max="28" width="18.5703125" style="8" customWidth="1"/>
    <col min="29" max="29" width="7" style="8" customWidth="1"/>
    <col min="30" max="30" width="1" style="8" customWidth="1"/>
    <col min="31" max="31" width="66.42578125" style="8" hidden="1" customWidth="1"/>
  </cols>
  <sheetData>
    <row r="1" spans="1:31" ht="18.75" x14ac:dyDescent="0.25">
      <c r="A1" s="839" t="s">
        <v>0</v>
      </c>
      <c r="B1" s="840"/>
      <c r="C1" s="840"/>
      <c r="D1" s="840"/>
      <c r="E1" s="840"/>
      <c r="F1" s="840"/>
      <c r="G1" s="840"/>
      <c r="H1" s="840"/>
      <c r="I1" s="112"/>
      <c r="J1" s="112"/>
      <c r="K1" s="1"/>
      <c r="L1" s="1"/>
      <c r="M1" s="1"/>
      <c r="N1" s="1"/>
      <c r="O1" s="1"/>
      <c r="P1" s="62"/>
      <c r="Q1" s="112"/>
      <c r="R1" s="113"/>
      <c r="S1" s="114"/>
      <c r="T1" s="113"/>
      <c r="U1" s="62"/>
      <c r="V1" s="62"/>
      <c r="W1" s="62"/>
      <c r="X1" s="62"/>
      <c r="Y1" s="62"/>
      <c r="Z1" s="62"/>
      <c r="AA1" s="62"/>
      <c r="AB1" s="62"/>
      <c r="AC1" s="62"/>
      <c r="AD1" s="62"/>
      <c r="AE1" s="63"/>
    </row>
    <row r="2" spans="1:31" ht="18.75" x14ac:dyDescent="0.25">
      <c r="A2" s="125"/>
      <c r="B2" s="126"/>
      <c r="C2" s="126"/>
      <c r="D2" s="126"/>
      <c r="E2" s="126"/>
      <c r="F2" s="126"/>
      <c r="G2" s="126"/>
      <c r="H2" s="126"/>
      <c r="I2" s="115"/>
      <c r="J2" s="115"/>
      <c r="K2" s="4"/>
      <c r="L2" s="5"/>
      <c r="M2" s="5"/>
      <c r="N2" s="5"/>
      <c r="O2" s="5"/>
      <c r="P2" s="4"/>
      <c r="Q2" s="115"/>
      <c r="R2" s="116"/>
      <c r="S2" s="117"/>
      <c r="T2" s="116"/>
      <c r="U2" s="4"/>
      <c r="V2" s="65"/>
      <c r="W2" s="65"/>
      <c r="X2" s="65"/>
      <c r="Y2" s="65"/>
      <c r="Z2" s="4"/>
      <c r="AA2" s="65"/>
      <c r="AB2" s="65"/>
      <c r="AC2" s="65"/>
      <c r="AD2" s="4"/>
      <c r="AE2" s="66"/>
    </row>
    <row r="3" spans="1:31" s="100" customFormat="1" ht="18.75" x14ac:dyDescent="0.25">
      <c r="A3" s="837" t="s">
        <v>222</v>
      </c>
      <c r="B3" s="838"/>
      <c r="C3" s="838"/>
      <c r="D3" s="838"/>
      <c r="E3" s="838"/>
      <c r="F3" s="838"/>
      <c r="G3" s="838"/>
      <c r="H3" s="838"/>
      <c r="I3" s="118"/>
      <c r="J3" s="118"/>
      <c r="K3" s="97"/>
      <c r="L3" s="97"/>
      <c r="M3" s="97"/>
      <c r="N3" s="97"/>
      <c r="O3" s="97"/>
      <c r="P3" s="98"/>
      <c r="Q3" s="118"/>
      <c r="R3" s="119"/>
      <c r="S3" s="120"/>
      <c r="T3" s="119"/>
      <c r="U3" s="98"/>
      <c r="V3" s="98"/>
      <c r="W3" s="98"/>
      <c r="X3" s="98"/>
      <c r="Y3" s="98"/>
      <c r="Z3" s="98"/>
      <c r="AA3" s="98"/>
      <c r="AB3" s="98"/>
      <c r="AC3" s="98"/>
      <c r="AD3" s="98"/>
      <c r="AE3" s="99"/>
    </row>
    <row r="4" spans="1:31" ht="18.75" x14ac:dyDescent="0.25">
      <c r="A4" s="843" t="s">
        <v>2</v>
      </c>
      <c r="B4" s="844"/>
      <c r="C4" s="844"/>
      <c r="D4" s="844"/>
      <c r="E4" s="844"/>
      <c r="F4" s="844"/>
      <c r="G4" s="844"/>
      <c r="H4" s="844"/>
      <c r="I4" s="127"/>
      <c r="J4" s="127"/>
      <c r="K4" s="67"/>
      <c r="L4" s="67"/>
      <c r="M4" s="67"/>
      <c r="N4" s="67"/>
      <c r="O4" s="67"/>
      <c r="P4" s="65"/>
      <c r="Q4" s="121"/>
      <c r="R4" s="122"/>
      <c r="S4" s="117"/>
      <c r="T4" s="122"/>
      <c r="U4" s="65"/>
      <c r="V4" s="65"/>
      <c r="W4" s="65"/>
      <c r="X4" s="65"/>
      <c r="Y4" s="65"/>
      <c r="Z4" s="65"/>
      <c r="AA4" s="65"/>
      <c r="AB4" s="68"/>
      <c r="AC4" s="65"/>
      <c r="AD4" s="65"/>
      <c r="AE4" s="66"/>
    </row>
    <row r="5" spans="1:31" ht="18.75" x14ac:dyDescent="0.25">
      <c r="A5" s="843" t="s">
        <v>3</v>
      </c>
      <c r="B5" s="845"/>
      <c r="C5" s="845"/>
      <c r="D5" s="845"/>
      <c r="E5" s="845"/>
      <c r="F5" s="845"/>
      <c r="G5" s="845"/>
      <c r="H5" s="845"/>
      <c r="I5" s="115"/>
      <c r="J5" s="115"/>
      <c r="K5" s="67"/>
      <c r="L5" s="67"/>
      <c r="M5" s="67"/>
      <c r="N5" s="67"/>
      <c r="O5" s="67"/>
      <c r="P5" s="65"/>
      <c r="Q5" s="121"/>
      <c r="R5" s="122"/>
      <c r="S5" s="117"/>
      <c r="T5" s="122"/>
      <c r="U5" s="65"/>
      <c r="V5" s="65"/>
      <c r="W5" s="65"/>
      <c r="X5" s="65"/>
      <c r="Y5" s="65"/>
      <c r="Z5" s="65"/>
      <c r="AA5" s="65"/>
      <c r="AB5" s="68"/>
      <c r="AC5" s="65"/>
      <c r="AD5" s="65"/>
      <c r="AE5" s="66"/>
    </row>
    <row r="6" spans="1:31" s="100" customFormat="1" ht="18.75" x14ac:dyDescent="0.25">
      <c r="A6" s="837" t="s">
        <v>4</v>
      </c>
      <c r="B6" s="846"/>
      <c r="C6" s="846"/>
      <c r="D6" s="846"/>
      <c r="E6" s="846"/>
      <c r="F6" s="846"/>
      <c r="G6" s="846"/>
      <c r="H6" s="846"/>
      <c r="I6" s="118"/>
      <c r="J6" s="118"/>
      <c r="K6" s="101"/>
      <c r="L6" s="101"/>
      <c r="M6" s="101"/>
      <c r="N6" s="101"/>
      <c r="O6" s="101"/>
      <c r="P6" s="98"/>
      <c r="Q6" s="123"/>
      <c r="R6" s="124"/>
      <c r="S6" s="120"/>
      <c r="T6" s="124"/>
      <c r="U6" s="98"/>
      <c r="V6" s="98"/>
      <c r="W6" s="98"/>
      <c r="X6" s="98"/>
      <c r="Y6" s="98"/>
      <c r="Z6" s="98"/>
      <c r="AA6" s="102"/>
      <c r="AB6" s="103"/>
      <c r="AC6" s="98"/>
      <c r="AD6" s="98"/>
      <c r="AE6" s="99"/>
    </row>
    <row r="7" spans="1:31" s="100" customFormat="1" ht="18.75" x14ac:dyDescent="0.25">
      <c r="A7" s="837" t="s">
        <v>5</v>
      </c>
      <c r="B7" s="838"/>
      <c r="C7" s="838"/>
      <c r="D7" s="838"/>
      <c r="E7" s="838"/>
      <c r="F7" s="838"/>
      <c r="G7" s="838"/>
      <c r="H7" s="838"/>
      <c r="I7" s="128"/>
      <c r="J7" s="128"/>
      <c r="K7" s="101"/>
      <c r="L7" s="101"/>
      <c r="M7" s="101"/>
      <c r="N7" s="101"/>
      <c r="O7" s="101"/>
      <c r="P7" s="98"/>
      <c r="Q7" s="123"/>
      <c r="R7" s="124"/>
      <c r="S7" s="120"/>
      <c r="T7" s="124"/>
      <c r="U7" s="98"/>
      <c r="V7" s="98"/>
      <c r="W7" s="98"/>
      <c r="X7" s="98"/>
      <c r="Y7" s="98"/>
      <c r="Z7" s="98"/>
      <c r="AA7" s="98"/>
      <c r="AB7" s="256"/>
      <c r="AC7" s="98"/>
      <c r="AD7" s="98"/>
      <c r="AE7" s="99"/>
    </row>
    <row r="8" spans="1:31" ht="27" thickBot="1" x14ac:dyDescent="0.3">
      <c r="A8" s="69"/>
      <c r="B8" s="168"/>
      <c r="C8" s="65"/>
      <c r="D8" s="65"/>
      <c r="E8" s="65"/>
      <c r="F8" s="70"/>
      <c r="G8" s="65"/>
      <c r="H8" s="65"/>
      <c r="I8" s="65"/>
      <c r="J8" s="65"/>
      <c r="K8" s="70"/>
      <c r="L8" s="65"/>
      <c r="M8" s="65"/>
      <c r="N8" s="65"/>
      <c r="O8" s="65"/>
      <c r="P8" s="70"/>
      <c r="Q8" s="65"/>
      <c r="R8" s="65"/>
      <c r="S8" s="235"/>
      <c r="T8" s="65"/>
      <c r="U8" s="70"/>
      <c r="V8" s="65"/>
      <c r="W8" s="65"/>
      <c r="X8" s="65"/>
      <c r="Y8" s="65"/>
      <c r="Z8" s="70"/>
      <c r="AA8" s="65"/>
      <c r="AB8" s="68"/>
      <c r="AC8" s="65"/>
      <c r="AD8" s="70"/>
      <c r="AE8" s="71"/>
    </row>
    <row r="9" spans="1:31" ht="15.75" x14ac:dyDescent="0.25">
      <c r="A9" s="140"/>
      <c r="B9" s="852" t="s">
        <v>6</v>
      </c>
      <c r="C9" s="853"/>
      <c r="D9" s="853"/>
      <c r="E9" s="854"/>
      <c r="F9" s="200"/>
      <c r="G9" s="852" t="s">
        <v>7</v>
      </c>
      <c r="H9" s="853"/>
      <c r="I9" s="853"/>
      <c r="J9" s="854"/>
      <c r="K9" s="797"/>
      <c r="L9" s="855" t="s">
        <v>8</v>
      </c>
      <c r="M9" s="856"/>
      <c r="N9" s="856"/>
      <c r="O9" s="857"/>
      <c r="P9" s="797"/>
      <c r="Q9" s="852" t="s">
        <v>9</v>
      </c>
      <c r="R9" s="853"/>
      <c r="S9" s="853"/>
      <c r="T9" s="854"/>
      <c r="U9" s="200"/>
      <c r="V9" s="855" t="s">
        <v>10</v>
      </c>
      <c r="W9" s="856"/>
      <c r="X9" s="856"/>
      <c r="Y9" s="857"/>
      <c r="Z9" s="797"/>
      <c r="AA9" s="855" t="s">
        <v>11</v>
      </c>
      <c r="AB9" s="856"/>
      <c r="AC9" s="857"/>
      <c r="AD9" s="796"/>
      <c r="AE9" s="847" t="s">
        <v>12</v>
      </c>
    </row>
    <row r="10" spans="1:31" ht="15.75" x14ac:dyDescent="0.25">
      <c r="A10" s="141" t="s">
        <v>13</v>
      </c>
      <c r="B10" s="169" t="s">
        <v>14</v>
      </c>
      <c r="C10" s="104" t="s">
        <v>15</v>
      </c>
      <c r="D10" s="850" t="s">
        <v>16</v>
      </c>
      <c r="E10" s="851"/>
      <c r="F10" s="201"/>
      <c r="G10" s="169" t="s">
        <v>14</v>
      </c>
      <c r="H10" s="104" t="s">
        <v>15</v>
      </c>
      <c r="I10" s="850" t="s">
        <v>16</v>
      </c>
      <c r="J10" s="851"/>
      <c r="K10" s="795"/>
      <c r="L10" s="169" t="s">
        <v>14</v>
      </c>
      <c r="M10" s="104" t="s">
        <v>15</v>
      </c>
      <c r="N10" s="850" t="s">
        <v>16</v>
      </c>
      <c r="O10" s="851"/>
      <c r="P10" s="795"/>
      <c r="Q10" s="169" t="s">
        <v>14</v>
      </c>
      <c r="R10" s="104" t="s">
        <v>15</v>
      </c>
      <c r="S10" s="850" t="s">
        <v>16</v>
      </c>
      <c r="T10" s="851"/>
      <c r="U10" s="201"/>
      <c r="V10" s="169" t="s">
        <v>14</v>
      </c>
      <c r="W10" s="104" t="s">
        <v>15</v>
      </c>
      <c r="X10" s="850" t="s">
        <v>16</v>
      </c>
      <c r="Y10" s="851"/>
      <c r="Z10" s="795"/>
      <c r="AA10" s="247" t="s">
        <v>17</v>
      </c>
      <c r="AB10" s="850" t="s">
        <v>18</v>
      </c>
      <c r="AC10" s="851"/>
      <c r="AD10" s="794"/>
      <c r="AE10" s="848"/>
    </row>
    <row r="11" spans="1:31" ht="16.5" thickBot="1" x14ac:dyDescent="0.3">
      <c r="A11" s="142"/>
      <c r="B11" s="170" t="s">
        <v>19</v>
      </c>
      <c r="C11" s="105" t="s">
        <v>19</v>
      </c>
      <c r="D11" s="106" t="s">
        <v>19</v>
      </c>
      <c r="E11" s="171" t="s">
        <v>20</v>
      </c>
      <c r="F11" s="202"/>
      <c r="G11" s="209" t="s">
        <v>19</v>
      </c>
      <c r="H11" s="107" t="s">
        <v>19</v>
      </c>
      <c r="I11" s="108" t="s">
        <v>19</v>
      </c>
      <c r="J11" s="210" t="s">
        <v>20</v>
      </c>
      <c r="K11" s="793"/>
      <c r="L11" s="209" t="s">
        <v>19</v>
      </c>
      <c r="M11" s="107" t="s">
        <v>19</v>
      </c>
      <c r="N11" s="108" t="s">
        <v>19</v>
      </c>
      <c r="O11" s="210" t="s">
        <v>20</v>
      </c>
      <c r="P11" s="793"/>
      <c r="Q11" s="209" t="s">
        <v>19</v>
      </c>
      <c r="R11" s="107" t="s">
        <v>19</v>
      </c>
      <c r="S11" s="108" t="s">
        <v>19</v>
      </c>
      <c r="T11" s="210" t="s">
        <v>20</v>
      </c>
      <c r="U11" s="202"/>
      <c r="V11" s="209" t="s">
        <v>19</v>
      </c>
      <c r="W11" s="107" t="s">
        <v>19</v>
      </c>
      <c r="X11" s="108" t="s">
        <v>19</v>
      </c>
      <c r="Y11" s="210" t="s">
        <v>20</v>
      </c>
      <c r="Z11" s="793"/>
      <c r="AA11" s="209" t="s">
        <v>19</v>
      </c>
      <c r="AB11" s="108" t="s">
        <v>19</v>
      </c>
      <c r="AC11" s="210" t="s">
        <v>20</v>
      </c>
      <c r="AD11" s="792"/>
      <c r="AE11" s="849"/>
    </row>
    <row r="12" spans="1:31" ht="15.75" x14ac:dyDescent="0.25">
      <c r="A12" s="143" t="s">
        <v>21</v>
      </c>
      <c r="B12" s="172"/>
      <c r="C12" s="72"/>
      <c r="D12" s="72"/>
      <c r="E12" s="173"/>
      <c r="F12" s="203"/>
      <c r="G12" s="184"/>
      <c r="H12" s="73"/>
      <c r="I12" s="73"/>
      <c r="J12" s="185"/>
      <c r="K12" s="772"/>
      <c r="L12" s="184"/>
      <c r="M12" s="73"/>
      <c r="N12" s="73"/>
      <c r="O12" s="185"/>
      <c r="P12" s="772"/>
      <c r="Q12" s="184"/>
      <c r="R12" s="73"/>
      <c r="S12" s="73"/>
      <c r="T12" s="185"/>
      <c r="U12" s="772"/>
      <c r="V12" s="184"/>
      <c r="W12" s="73"/>
      <c r="X12" s="73"/>
      <c r="Y12" s="185"/>
      <c r="Z12" s="772"/>
      <c r="AA12" s="184"/>
      <c r="AB12" s="73"/>
      <c r="AC12" s="185"/>
      <c r="AD12" s="771"/>
      <c r="AE12" s="74"/>
    </row>
    <row r="13" spans="1:31" ht="15.75" x14ac:dyDescent="0.25">
      <c r="A13" s="144" t="s">
        <v>151</v>
      </c>
      <c r="B13" s="174">
        <v>0</v>
      </c>
      <c r="C13" s="75">
        <v>0</v>
      </c>
      <c r="D13" s="76">
        <f t="shared" ref="D13:D22" si="0">C13-B13</f>
        <v>0</v>
      </c>
      <c r="E13" s="175" t="str">
        <f>IF(ISERROR(D13/B13),"-",D13/B13)</f>
        <v>-</v>
      </c>
      <c r="F13" s="204"/>
      <c r="G13" s="174">
        <v>0</v>
      </c>
      <c r="H13" s="75">
        <v>0</v>
      </c>
      <c r="I13" s="76">
        <f t="shared" ref="I13:I22" si="1">H13-G13</f>
        <v>0</v>
      </c>
      <c r="J13" s="175" t="str">
        <f>IF(ISERROR(I13/G13),"-",I13/G13)</f>
        <v>-</v>
      </c>
      <c r="K13" s="789"/>
      <c r="L13" s="174">
        <v>0</v>
      </c>
      <c r="M13" s="75"/>
      <c r="N13" s="76"/>
      <c r="O13" s="175" t="str">
        <f t="shared" ref="O13:O23" si="2">IF(ISERROR(N13/L13),"-",N13/L13)</f>
        <v>-</v>
      </c>
      <c r="P13" s="789"/>
      <c r="Q13" s="174">
        <v>0</v>
      </c>
      <c r="R13" s="75">
        <v>0</v>
      </c>
      <c r="S13" s="76">
        <f t="shared" ref="S13:S22" si="3">R13-Q13</f>
        <v>0</v>
      </c>
      <c r="T13" s="175" t="str">
        <f t="shared" ref="T13:T27" si="4">IF(ISERROR(S13/Q13),"-",S13/Q13)</f>
        <v>-</v>
      </c>
      <c r="U13" s="789"/>
      <c r="V13" s="181">
        <f t="shared" ref="V13:V22" si="5">B13+G13+L13+Q13</f>
        <v>0</v>
      </c>
      <c r="W13" s="76">
        <f t="shared" ref="W13:W22" si="6">C13+H13+M13+R13</f>
        <v>0</v>
      </c>
      <c r="X13" s="76">
        <f t="shared" ref="X13:X22" si="7">W13-V13</f>
        <v>0</v>
      </c>
      <c r="Y13" s="175" t="str">
        <f>IF(ISERROR(X13/V13),"-",X13/V13)</f>
        <v>-</v>
      </c>
      <c r="Z13" s="789"/>
      <c r="AA13" s="181">
        <v>0</v>
      </c>
      <c r="AB13" s="76">
        <f t="shared" ref="AB13:AB22" si="8">AA13-W13</f>
        <v>0</v>
      </c>
      <c r="AC13" s="175" t="str">
        <f>IF(ISERROR(AB13/AA13),"-",AB13/AA13)</f>
        <v>-</v>
      </c>
      <c r="AD13" s="788"/>
      <c r="AE13" s="77"/>
    </row>
    <row r="14" spans="1:31" ht="15.75" x14ac:dyDescent="0.25">
      <c r="A14" s="145" t="s">
        <v>23</v>
      </c>
      <c r="B14" s="174">
        <v>0</v>
      </c>
      <c r="C14" s="75">
        <v>0</v>
      </c>
      <c r="D14" s="76">
        <f t="shared" si="0"/>
        <v>0</v>
      </c>
      <c r="E14" s="175" t="str">
        <f t="shared" ref="E14:E20" si="9">IF(ISERROR(D14/B14),"-",D14/B14)</f>
        <v>-</v>
      </c>
      <c r="F14" s="205"/>
      <c r="G14" s="174">
        <v>0</v>
      </c>
      <c r="H14" s="75">
        <v>0</v>
      </c>
      <c r="I14" s="76">
        <f t="shared" si="1"/>
        <v>0</v>
      </c>
      <c r="J14" s="175" t="str">
        <f t="shared" ref="J14:J21" si="10">IF(ISERROR(I14/G14),"-",I14/G14)</f>
        <v>-</v>
      </c>
      <c r="K14" s="786"/>
      <c r="L14" s="174">
        <v>0</v>
      </c>
      <c r="M14" s="75"/>
      <c r="N14" s="76"/>
      <c r="O14" s="175" t="str">
        <f t="shared" si="2"/>
        <v>-</v>
      </c>
      <c r="P14" s="786"/>
      <c r="Q14" s="174">
        <v>0</v>
      </c>
      <c r="R14" s="75">
        <v>0</v>
      </c>
      <c r="S14" s="76">
        <f t="shared" si="3"/>
        <v>0</v>
      </c>
      <c r="T14" s="175" t="str">
        <f t="shared" si="4"/>
        <v>-</v>
      </c>
      <c r="U14" s="786"/>
      <c r="V14" s="181">
        <f t="shared" si="5"/>
        <v>0</v>
      </c>
      <c r="W14" s="76">
        <f t="shared" si="6"/>
        <v>0</v>
      </c>
      <c r="X14" s="76">
        <f t="shared" si="7"/>
        <v>0</v>
      </c>
      <c r="Y14" s="175" t="str">
        <f t="shared" ref="Y14:Y22" si="11">IF(ISERROR(X14/V14),"-",X14/V14)</f>
        <v>-</v>
      </c>
      <c r="Z14" s="786"/>
      <c r="AA14" s="181">
        <v>0</v>
      </c>
      <c r="AB14" s="76">
        <f t="shared" si="8"/>
        <v>0</v>
      </c>
      <c r="AC14" s="175" t="str">
        <f t="shared" ref="AC14:AC21" si="12">IF(ISERROR(AB14/AA14),"-",AB14/AA14)</f>
        <v>-</v>
      </c>
      <c r="AD14" s="778"/>
      <c r="AE14" s="78"/>
    </row>
    <row r="15" spans="1:31" ht="15.75" x14ac:dyDescent="0.25">
      <c r="A15" s="145" t="s">
        <v>24</v>
      </c>
      <c r="B15" s="174">
        <v>300</v>
      </c>
      <c r="C15" s="75">
        <v>102.22</v>
      </c>
      <c r="D15" s="76">
        <f t="shared" si="0"/>
        <v>-197.78</v>
      </c>
      <c r="E15" s="175">
        <f t="shared" si="9"/>
        <v>-0.65926666666666667</v>
      </c>
      <c r="F15" s="204"/>
      <c r="G15" s="174">
        <v>300</v>
      </c>
      <c r="H15" s="75">
        <v>0.03</v>
      </c>
      <c r="I15" s="76">
        <f t="shared" si="1"/>
        <v>-299.97000000000003</v>
      </c>
      <c r="J15" s="175">
        <f t="shared" si="10"/>
        <v>-0.99990000000000012</v>
      </c>
      <c r="K15" s="789"/>
      <c r="L15" s="174">
        <v>0</v>
      </c>
      <c r="M15" s="75"/>
      <c r="N15" s="76"/>
      <c r="O15" s="176" t="str">
        <f t="shared" si="2"/>
        <v>-</v>
      </c>
      <c r="P15" s="789"/>
      <c r="Q15" s="174">
        <v>0</v>
      </c>
      <c r="R15" s="75">
        <v>0</v>
      </c>
      <c r="S15" s="76">
        <f t="shared" si="3"/>
        <v>0</v>
      </c>
      <c r="T15" s="176" t="str">
        <f t="shared" si="4"/>
        <v>-</v>
      </c>
      <c r="U15" s="789"/>
      <c r="V15" s="181">
        <f t="shared" si="5"/>
        <v>600</v>
      </c>
      <c r="W15" s="76">
        <f t="shared" si="6"/>
        <v>102.25</v>
      </c>
      <c r="X15" s="76">
        <f t="shared" si="7"/>
        <v>-497.75</v>
      </c>
      <c r="Y15" s="175">
        <f t="shared" si="11"/>
        <v>-0.82958333333333334</v>
      </c>
      <c r="Z15" s="789"/>
      <c r="AA15" s="181">
        <v>0</v>
      </c>
      <c r="AB15" s="76">
        <f t="shared" si="8"/>
        <v>-102.25</v>
      </c>
      <c r="AC15" s="175" t="str">
        <f t="shared" si="12"/>
        <v>-</v>
      </c>
      <c r="AD15" s="788"/>
      <c r="AE15" s="77"/>
    </row>
    <row r="16" spans="1:31" ht="15.75" x14ac:dyDescent="0.25">
      <c r="A16" s="145" t="s">
        <v>25</v>
      </c>
      <c r="B16" s="174">
        <v>0</v>
      </c>
      <c r="C16" s="75">
        <v>0</v>
      </c>
      <c r="D16" s="76">
        <f t="shared" si="0"/>
        <v>0</v>
      </c>
      <c r="E16" s="175" t="str">
        <f t="shared" si="9"/>
        <v>-</v>
      </c>
      <c r="F16" s="204"/>
      <c r="G16" s="174">
        <v>0</v>
      </c>
      <c r="H16" s="75">
        <v>0</v>
      </c>
      <c r="I16" s="76">
        <f t="shared" si="1"/>
        <v>0</v>
      </c>
      <c r="J16" s="175" t="str">
        <f t="shared" si="10"/>
        <v>-</v>
      </c>
      <c r="K16" s="789"/>
      <c r="L16" s="174">
        <v>0</v>
      </c>
      <c r="M16" s="75"/>
      <c r="N16" s="76"/>
      <c r="O16" s="175" t="str">
        <f t="shared" si="2"/>
        <v>-</v>
      </c>
      <c r="P16" s="789"/>
      <c r="Q16" s="174">
        <v>0</v>
      </c>
      <c r="R16" s="75">
        <v>0</v>
      </c>
      <c r="S16" s="76">
        <f t="shared" si="3"/>
        <v>0</v>
      </c>
      <c r="T16" s="175" t="str">
        <f t="shared" si="4"/>
        <v>-</v>
      </c>
      <c r="U16" s="789"/>
      <c r="V16" s="181">
        <f t="shared" si="5"/>
        <v>0</v>
      </c>
      <c r="W16" s="76">
        <f t="shared" si="6"/>
        <v>0</v>
      </c>
      <c r="X16" s="76">
        <f t="shared" si="7"/>
        <v>0</v>
      </c>
      <c r="Y16" s="175" t="str">
        <f t="shared" si="11"/>
        <v>-</v>
      </c>
      <c r="Z16" s="789"/>
      <c r="AA16" s="181">
        <v>0</v>
      </c>
      <c r="AB16" s="76">
        <f t="shared" si="8"/>
        <v>0</v>
      </c>
      <c r="AC16" s="175" t="str">
        <f t="shared" si="12"/>
        <v>-</v>
      </c>
      <c r="AD16" s="788"/>
      <c r="AE16" s="77"/>
    </row>
    <row r="17" spans="1:31" ht="15.75" x14ac:dyDescent="0.25">
      <c r="A17" s="145" t="s">
        <v>26</v>
      </c>
      <c r="B17" s="174">
        <v>0</v>
      </c>
      <c r="C17" s="75">
        <v>0</v>
      </c>
      <c r="D17" s="76">
        <f t="shared" si="0"/>
        <v>0</v>
      </c>
      <c r="E17" s="175" t="str">
        <f t="shared" si="9"/>
        <v>-</v>
      </c>
      <c r="F17" s="204"/>
      <c r="G17" s="174">
        <v>0</v>
      </c>
      <c r="H17" s="75">
        <v>0</v>
      </c>
      <c r="I17" s="76">
        <f t="shared" si="1"/>
        <v>0</v>
      </c>
      <c r="J17" s="175" t="str">
        <f t="shared" si="10"/>
        <v>-</v>
      </c>
      <c r="K17" s="789"/>
      <c r="L17" s="174">
        <v>0</v>
      </c>
      <c r="M17" s="75"/>
      <c r="N17" s="76"/>
      <c r="O17" s="175" t="str">
        <f t="shared" si="2"/>
        <v>-</v>
      </c>
      <c r="P17" s="789"/>
      <c r="Q17" s="174">
        <v>0</v>
      </c>
      <c r="R17" s="75">
        <v>0</v>
      </c>
      <c r="S17" s="76">
        <f t="shared" si="3"/>
        <v>0</v>
      </c>
      <c r="T17" s="175" t="str">
        <f t="shared" si="4"/>
        <v>-</v>
      </c>
      <c r="U17" s="789"/>
      <c r="V17" s="181">
        <f t="shared" si="5"/>
        <v>0</v>
      </c>
      <c r="W17" s="76">
        <f t="shared" si="6"/>
        <v>0</v>
      </c>
      <c r="X17" s="76">
        <f t="shared" si="7"/>
        <v>0</v>
      </c>
      <c r="Y17" s="175" t="str">
        <f t="shared" si="11"/>
        <v>-</v>
      </c>
      <c r="Z17" s="789"/>
      <c r="AA17" s="181">
        <v>0</v>
      </c>
      <c r="AB17" s="76">
        <f t="shared" si="8"/>
        <v>0</v>
      </c>
      <c r="AC17" s="175" t="str">
        <f t="shared" si="12"/>
        <v>-</v>
      </c>
      <c r="AD17" s="788"/>
      <c r="AE17" s="78"/>
    </row>
    <row r="18" spans="1:31" ht="15.75" x14ac:dyDescent="0.25">
      <c r="A18" s="145" t="s">
        <v>27</v>
      </c>
      <c r="B18" s="174">
        <v>1883827</v>
      </c>
      <c r="C18" s="75">
        <v>1915674</v>
      </c>
      <c r="D18" s="76">
        <f t="shared" si="0"/>
        <v>31847</v>
      </c>
      <c r="E18" s="175">
        <f t="shared" si="9"/>
        <v>1.6905480174134888E-2</v>
      </c>
      <c r="F18" s="204"/>
      <c r="G18" s="174">
        <v>2817822</v>
      </c>
      <c r="H18" s="75">
        <v>2298994</v>
      </c>
      <c r="I18" s="76">
        <f t="shared" si="1"/>
        <v>-518828</v>
      </c>
      <c r="J18" s="175">
        <f t="shared" si="10"/>
        <v>-0.18412376651186627</v>
      </c>
      <c r="K18" s="789"/>
      <c r="L18" s="174">
        <v>0</v>
      </c>
      <c r="M18" s="75"/>
      <c r="N18" s="76"/>
      <c r="O18" s="176" t="str">
        <f t="shared" si="2"/>
        <v>-</v>
      </c>
      <c r="P18" s="789"/>
      <c r="Q18" s="174">
        <v>0</v>
      </c>
      <c r="R18" s="75">
        <v>0</v>
      </c>
      <c r="S18" s="76">
        <f t="shared" si="3"/>
        <v>0</v>
      </c>
      <c r="T18" s="176" t="str">
        <f t="shared" si="4"/>
        <v>-</v>
      </c>
      <c r="U18" s="789"/>
      <c r="V18" s="181">
        <f t="shared" si="5"/>
        <v>4701649</v>
      </c>
      <c r="W18" s="76">
        <f t="shared" si="6"/>
        <v>4214668</v>
      </c>
      <c r="X18" s="76">
        <f t="shared" si="7"/>
        <v>-486981</v>
      </c>
      <c r="Y18" s="175">
        <f t="shared" si="11"/>
        <v>-0.10357663874951108</v>
      </c>
      <c r="Z18" s="789"/>
      <c r="AA18" s="181">
        <v>8920225.8000000007</v>
      </c>
      <c r="AB18" s="76">
        <f t="shared" si="8"/>
        <v>4705557.8000000007</v>
      </c>
      <c r="AC18" s="175">
        <f t="shared" si="12"/>
        <v>0.52751554786875465</v>
      </c>
      <c r="AD18" s="788"/>
      <c r="AE18" s="77"/>
    </row>
    <row r="19" spans="1:31" ht="15.75" x14ac:dyDescent="0.25">
      <c r="A19" s="145" t="s">
        <v>28</v>
      </c>
      <c r="B19" s="174">
        <v>0</v>
      </c>
      <c r="C19" s="75">
        <v>0</v>
      </c>
      <c r="D19" s="76">
        <f t="shared" si="0"/>
        <v>0</v>
      </c>
      <c r="E19" s="175" t="str">
        <f t="shared" si="9"/>
        <v>-</v>
      </c>
      <c r="F19" s="204"/>
      <c r="G19" s="174">
        <v>0</v>
      </c>
      <c r="H19" s="75">
        <v>0</v>
      </c>
      <c r="I19" s="76">
        <f t="shared" si="1"/>
        <v>0</v>
      </c>
      <c r="J19" s="175" t="str">
        <f t="shared" si="10"/>
        <v>-</v>
      </c>
      <c r="K19" s="789"/>
      <c r="L19" s="174">
        <v>0</v>
      </c>
      <c r="M19" s="75"/>
      <c r="N19" s="76"/>
      <c r="O19" s="176" t="str">
        <f t="shared" si="2"/>
        <v>-</v>
      </c>
      <c r="P19" s="789"/>
      <c r="Q19" s="174">
        <v>0</v>
      </c>
      <c r="R19" s="75">
        <v>0</v>
      </c>
      <c r="S19" s="76">
        <f t="shared" si="3"/>
        <v>0</v>
      </c>
      <c r="T19" s="176" t="str">
        <f t="shared" si="4"/>
        <v>-</v>
      </c>
      <c r="U19" s="789"/>
      <c r="V19" s="181">
        <f t="shared" si="5"/>
        <v>0</v>
      </c>
      <c r="W19" s="76">
        <f t="shared" si="6"/>
        <v>0</v>
      </c>
      <c r="X19" s="76">
        <f t="shared" si="7"/>
        <v>0</v>
      </c>
      <c r="Y19" s="175" t="str">
        <f t="shared" si="11"/>
        <v>-</v>
      </c>
      <c r="Z19" s="789"/>
      <c r="AA19" s="181">
        <v>0</v>
      </c>
      <c r="AB19" s="76">
        <f t="shared" si="8"/>
        <v>0</v>
      </c>
      <c r="AC19" s="175" t="str">
        <f t="shared" si="12"/>
        <v>-</v>
      </c>
      <c r="AD19" s="788"/>
      <c r="AE19" s="77"/>
    </row>
    <row r="20" spans="1:31" ht="15.75" x14ac:dyDescent="0.25">
      <c r="A20" s="144" t="s">
        <v>29</v>
      </c>
      <c r="B20" s="174">
        <v>0</v>
      </c>
      <c r="C20" s="75">
        <v>0</v>
      </c>
      <c r="D20" s="76">
        <f t="shared" si="0"/>
        <v>0</v>
      </c>
      <c r="E20" s="175" t="str">
        <f t="shared" si="9"/>
        <v>-</v>
      </c>
      <c r="F20" s="204"/>
      <c r="G20" s="174">
        <v>0</v>
      </c>
      <c r="H20" s="75">
        <v>0</v>
      </c>
      <c r="I20" s="76">
        <f t="shared" si="1"/>
        <v>0</v>
      </c>
      <c r="J20" s="175" t="str">
        <f t="shared" si="10"/>
        <v>-</v>
      </c>
      <c r="K20" s="789"/>
      <c r="L20" s="174">
        <v>0</v>
      </c>
      <c r="M20" s="75"/>
      <c r="N20" s="76"/>
      <c r="O20" s="176" t="str">
        <f t="shared" si="2"/>
        <v>-</v>
      </c>
      <c r="P20" s="789"/>
      <c r="Q20" s="174">
        <v>0</v>
      </c>
      <c r="R20" s="75">
        <v>0</v>
      </c>
      <c r="S20" s="76">
        <f t="shared" si="3"/>
        <v>0</v>
      </c>
      <c r="T20" s="176" t="str">
        <f t="shared" si="4"/>
        <v>-</v>
      </c>
      <c r="U20" s="789"/>
      <c r="V20" s="181">
        <f t="shared" si="5"/>
        <v>0</v>
      </c>
      <c r="W20" s="76">
        <f t="shared" si="6"/>
        <v>0</v>
      </c>
      <c r="X20" s="76">
        <f t="shared" si="7"/>
        <v>0</v>
      </c>
      <c r="Y20" s="175" t="str">
        <f t="shared" si="11"/>
        <v>-</v>
      </c>
      <c r="Z20" s="789"/>
      <c r="AA20" s="181">
        <v>0</v>
      </c>
      <c r="AB20" s="76">
        <f t="shared" si="8"/>
        <v>0</v>
      </c>
      <c r="AC20" s="175" t="str">
        <f t="shared" si="12"/>
        <v>-</v>
      </c>
      <c r="AD20" s="788"/>
      <c r="AE20" s="77"/>
    </row>
    <row r="21" spans="1:31" ht="15.75" x14ac:dyDescent="0.25">
      <c r="A21" s="145" t="s">
        <v>30</v>
      </c>
      <c r="B21" s="174">
        <v>0</v>
      </c>
      <c r="C21" s="75">
        <v>0</v>
      </c>
      <c r="D21" s="76">
        <f t="shared" si="0"/>
        <v>0</v>
      </c>
      <c r="E21" s="176" t="str">
        <f>IF(ISERROR(D21/B21),"-",D21/B21)</f>
        <v>-</v>
      </c>
      <c r="F21" s="204"/>
      <c r="G21" s="174">
        <v>0</v>
      </c>
      <c r="H21" s="75">
        <v>0</v>
      </c>
      <c r="I21" s="76">
        <f t="shared" si="1"/>
        <v>0</v>
      </c>
      <c r="J21" s="175" t="str">
        <f t="shared" si="10"/>
        <v>-</v>
      </c>
      <c r="K21" s="789"/>
      <c r="L21" s="174">
        <v>0</v>
      </c>
      <c r="M21" s="75"/>
      <c r="N21" s="76"/>
      <c r="O21" s="176" t="str">
        <f t="shared" si="2"/>
        <v>-</v>
      </c>
      <c r="P21" s="789"/>
      <c r="Q21" s="174">
        <v>0</v>
      </c>
      <c r="R21" s="75">
        <v>0</v>
      </c>
      <c r="S21" s="76">
        <f t="shared" si="3"/>
        <v>0</v>
      </c>
      <c r="T21" s="176" t="str">
        <f t="shared" si="4"/>
        <v>-</v>
      </c>
      <c r="U21" s="789"/>
      <c r="V21" s="181">
        <f t="shared" si="5"/>
        <v>0</v>
      </c>
      <c r="W21" s="76">
        <f t="shared" si="6"/>
        <v>0</v>
      </c>
      <c r="X21" s="76">
        <f t="shared" si="7"/>
        <v>0</v>
      </c>
      <c r="Y21" s="175" t="str">
        <f t="shared" si="11"/>
        <v>-</v>
      </c>
      <c r="Z21" s="789"/>
      <c r="AA21" s="181">
        <v>0</v>
      </c>
      <c r="AB21" s="76">
        <f t="shared" si="8"/>
        <v>0</v>
      </c>
      <c r="AC21" s="175" t="str">
        <f t="shared" si="12"/>
        <v>-</v>
      </c>
      <c r="AD21" s="788"/>
      <c r="AE21" s="77"/>
    </row>
    <row r="22" spans="1:31" ht="15.75" x14ac:dyDescent="0.25">
      <c r="A22" s="145" t="s">
        <v>223</v>
      </c>
      <c r="B22" s="174">
        <v>0</v>
      </c>
      <c r="C22" s="75">
        <v>0</v>
      </c>
      <c r="D22" s="76">
        <f t="shared" si="0"/>
        <v>0</v>
      </c>
      <c r="E22" s="176" t="str">
        <f>IF(ISERROR(D22/B22),"-",D22/B22)</f>
        <v>-</v>
      </c>
      <c r="F22" s="204"/>
      <c r="G22" s="174">
        <v>0</v>
      </c>
      <c r="H22" s="75">
        <v>0</v>
      </c>
      <c r="I22" s="76">
        <f t="shared" si="1"/>
        <v>0</v>
      </c>
      <c r="J22" s="176" t="str">
        <f>IF(ISERROR(I22/G22),"-",I22/G22)</f>
        <v>-</v>
      </c>
      <c r="K22" s="789"/>
      <c r="L22" s="174">
        <v>0</v>
      </c>
      <c r="M22" s="75"/>
      <c r="N22" s="76"/>
      <c r="O22" s="176" t="str">
        <f t="shared" si="2"/>
        <v>-</v>
      </c>
      <c r="P22" s="789"/>
      <c r="Q22" s="174">
        <v>0</v>
      </c>
      <c r="R22" s="75">
        <v>0</v>
      </c>
      <c r="S22" s="76">
        <f t="shared" si="3"/>
        <v>0</v>
      </c>
      <c r="T22" s="176" t="str">
        <f t="shared" si="4"/>
        <v>-</v>
      </c>
      <c r="U22" s="789"/>
      <c r="V22" s="181">
        <f t="shared" si="5"/>
        <v>0</v>
      </c>
      <c r="W22" s="76">
        <f t="shared" si="6"/>
        <v>0</v>
      </c>
      <c r="X22" s="76">
        <f t="shared" si="7"/>
        <v>0</v>
      </c>
      <c r="Y22" s="175" t="str">
        <f t="shared" si="11"/>
        <v>-</v>
      </c>
      <c r="Z22" s="789"/>
      <c r="AA22" s="181">
        <v>0</v>
      </c>
      <c r="AB22" s="76">
        <f t="shared" si="8"/>
        <v>0</v>
      </c>
      <c r="AC22" s="175" t="str">
        <f t="shared" ref="AC22" si="13">IF(ISERROR(AB22/AA22),"-",AB22/AA22)</f>
        <v>-</v>
      </c>
      <c r="AD22" s="788"/>
      <c r="AE22" s="77"/>
    </row>
    <row r="23" spans="1:31" ht="15.75" x14ac:dyDescent="0.25">
      <c r="A23" s="146" t="s">
        <v>32</v>
      </c>
      <c r="B23" s="177">
        <f>SUM(B13:B22)</f>
        <v>1884127</v>
      </c>
      <c r="C23" s="110">
        <f>SUM(C13:C22)</f>
        <v>1915776.22</v>
      </c>
      <c r="D23" s="110">
        <f>SUM(D13:D22)</f>
        <v>31649.22</v>
      </c>
      <c r="E23" s="178">
        <f>IF(ISERROR(D23/B23),"-",D23/B23)</f>
        <v>1.6797816707684779E-2</v>
      </c>
      <c r="F23" s="206"/>
      <c r="G23" s="177">
        <f>SUM(G13:G22)</f>
        <v>2818122</v>
      </c>
      <c r="H23" s="110">
        <f>SUM(H13:H22)</f>
        <v>2298994.0299999998</v>
      </c>
      <c r="I23" s="110">
        <f>SUM(I13:I22)</f>
        <v>-519127.97</v>
      </c>
      <c r="J23" s="178">
        <f>IF(ISERROR(I23/G23),"-",I23/G23)</f>
        <v>-0.1842106090509921</v>
      </c>
      <c r="K23" s="776"/>
      <c r="L23" s="177">
        <f>SUM(L13:L22)</f>
        <v>0</v>
      </c>
      <c r="M23" s="110"/>
      <c r="N23" s="110"/>
      <c r="O23" s="178" t="str">
        <f t="shared" si="2"/>
        <v>-</v>
      </c>
      <c r="P23" s="776"/>
      <c r="Q23" s="177">
        <f>SUM(Q13:Q22)</f>
        <v>0</v>
      </c>
      <c r="R23" s="110">
        <f>SUM(R13:R22)</f>
        <v>0</v>
      </c>
      <c r="S23" s="110">
        <f>SUM(S13:S22)</f>
        <v>0</v>
      </c>
      <c r="T23" s="236" t="str">
        <f t="shared" si="4"/>
        <v>-</v>
      </c>
      <c r="U23" s="776"/>
      <c r="V23" s="177">
        <f>SUM(V13:V22)</f>
        <v>4702249</v>
      </c>
      <c r="W23" s="110">
        <f>SUM(W13:W22)</f>
        <v>4214770.25</v>
      </c>
      <c r="X23" s="110">
        <f>SUM(X13:X22)</f>
        <v>-487478.75</v>
      </c>
      <c r="Y23" s="236">
        <f>IF(ISERROR(X23/V23),"-",X23/V23)</f>
        <v>-0.10366927612723188</v>
      </c>
      <c r="Z23" s="776"/>
      <c r="AA23" s="242">
        <f>SUM(AA13:AA22)</f>
        <v>8920225.8000000007</v>
      </c>
      <c r="AB23" s="109">
        <f>SUM(AB13:AB22)</f>
        <v>4705455.5500000007</v>
      </c>
      <c r="AC23" s="248">
        <f>IF(ISERROR(AB23/AA23),"-",AB23/AA23)</f>
        <v>0.52750408515443636</v>
      </c>
      <c r="AD23" s="775"/>
      <c r="AE23" s="80"/>
    </row>
    <row r="24" spans="1:31" ht="15.75" x14ac:dyDescent="0.25">
      <c r="A24" s="147"/>
      <c r="B24" s="179"/>
      <c r="C24" s="81"/>
      <c r="D24" s="81"/>
      <c r="E24" s="180"/>
      <c r="F24" s="204"/>
      <c r="G24" s="211"/>
      <c r="H24" s="129"/>
      <c r="I24" s="129"/>
      <c r="J24" s="212"/>
      <c r="K24" s="789"/>
      <c r="L24" s="179"/>
      <c r="M24" s="81"/>
      <c r="N24" s="81"/>
      <c r="O24" s="180"/>
      <c r="P24" s="789"/>
      <c r="Q24" s="211"/>
      <c r="R24" s="129"/>
      <c r="S24" s="129"/>
      <c r="T24" s="237" t="str">
        <f t="shared" si="4"/>
        <v>-</v>
      </c>
      <c r="U24" s="789"/>
      <c r="V24" s="179"/>
      <c r="W24" s="81"/>
      <c r="X24" s="81"/>
      <c r="Y24" s="180"/>
      <c r="Z24" s="789"/>
      <c r="AA24" s="179"/>
      <c r="AB24" s="81"/>
      <c r="AC24" s="180"/>
      <c r="AD24" s="788"/>
      <c r="AE24" s="77"/>
    </row>
    <row r="25" spans="1:31" ht="15.75" x14ac:dyDescent="0.25">
      <c r="A25" s="148" t="s">
        <v>33</v>
      </c>
      <c r="B25" s="181"/>
      <c r="C25" s="76"/>
      <c r="D25" s="76">
        <f>C25-B25</f>
        <v>0</v>
      </c>
      <c r="E25" s="176" t="str">
        <f>IF(ISERROR(D25/B25),"-",D25/B25)</f>
        <v>-</v>
      </c>
      <c r="F25" s="204"/>
      <c r="G25" s="213">
        <v>0</v>
      </c>
      <c r="H25" s="130">
        <v>0</v>
      </c>
      <c r="I25" s="130">
        <f>H25-G25</f>
        <v>0</v>
      </c>
      <c r="J25" s="214" t="str">
        <f>IF(ISERROR(I25/G25),"-",I25/G25)</f>
        <v>-</v>
      </c>
      <c r="K25" s="789"/>
      <c r="L25" s="181">
        <v>0</v>
      </c>
      <c r="M25" s="76"/>
      <c r="N25" s="76"/>
      <c r="O25" s="176" t="str">
        <f>IF(ISERROR(N25/L25),"-",N25/L25)</f>
        <v>-</v>
      </c>
      <c r="P25" s="789"/>
      <c r="Q25" s="213"/>
      <c r="R25" s="130"/>
      <c r="S25" s="130">
        <f>Q25-R25</f>
        <v>0</v>
      </c>
      <c r="T25" s="214" t="str">
        <f t="shared" si="4"/>
        <v>-</v>
      </c>
      <c r="U25" s="789"/>
      <c r="V25" s="181">
        <f>B25+G25+L25+Q25</f>
        <v>0</v>
      </c>
      <c r="W25" s="76">
        <f>C25+H25+M25+R25</f>
        <v>0</v>
      </c>
      <c r="X25" s="76"/>
      <c r="Y25" s="186"/>
      <c r="Z25" s="789"/>
      <c r="AA25" s="181"/>
      <c r="AB25" s="76"/>
      <c r="AC25" s="186"/>
      <c r="AD25" s="788"/>
      <c r="AE25" s="77"/>
    </row>
    <row r="26" spans="1:31" ht="15.75" x14ac:dyDescent="0.25">
      <c r="A26" s="149"/>
      <c r="B26" s="182"/>
      <c r="C26" s="82"/>
      <c r="D26" s="82"/>
      <c r="E26" s="183"/>
      <c r="F26" s="203"/>
      <c r="G26" s="215"/>
      <c r="H26" s="131"/>
      <c r="I26" s="131"/>
      <c r="J26" s="216"/>
      <c r="K26" s="772"/>
      <c r="L26" s="182"/>
      <c r="M26" s="82"/>
      <c r="N26" s="82"/>
      <c r="O26" s="183"/>
      <c r="P26" s="772"/>
      <c r="Q26" s="215"/>
      <c r="R26" s="131"/>
      <c r="S26" s="131"/>
      <c r="T26" s="227" t="str">
        <f t="shared" si="4"/>
        <v>-</v>
      </c>
      <c r="U26" s="772"/>
      <c r="V26" s="182"/>
      <c r="W26" s="82"/>
      <c r="X26" s="82"/>
      <c r="Y26" s="183"/>
      <c r="Z26" s="772"/>
      <c r="AA26" s="182"/>
      <c r="AB26" s="82"/>
      <c r="AC26" s="183"/>
      <c r="AD26" s="771"/>
      <c r="AE26" s="77"/>
    </row>
    <row r="27" spans="1:31" ht="15.75" x14ac:dyDescent="0.25">
      <c r="A27" s="146" t="s">
        <v>34</v>
      </c>
      <c r="B27" s="177">
        <f>B23+B25</f>
        <v>1884127</v>
      </c>
      <c r="C27" s="110">
        <f>C23+C25</f>
        <v>1915776.22</v>
      </c>
      <c r="D27" s="110">
        <f>D23+D25</f>
        <v>31649.22</v>
      </c>
      <c r="E27" s="178">
        <f>IF(ISERROR(D27/B27),"-",D27/B27)</f>
        <v>1.6797816707684779E-2</v>
      </c>
      <c r="F27" s="206"/>
      <c r="G27" s="177">
        <f>G23+G25</f>
        <v>2818122</v>
      </c>
      <c r="H27" s="110">
        <f>H23+H25</f>
        <v>2298994.0299999998</v>
      </c>
      <c r="I27" s="110">
        <f>I23+I25</f>
        <v>-519127.97</v>
      </c>
      <c r="J27" s="178">
        <f>IF(ISERROR(I27/G27),"-",I27/G27)</f>
        <v>-0.1842106090509921</v>
      </c>
      <c r="K27" s="776"/>
      <c r="L27" s="177">
        <f>L23+L25</f>
        <v>0</v>
      </c>
      <c r="M27" s="110"/>
      <c r="N27" s="110"/>
      <c r="O27" s="178" t="str">
        <f>IF(ISERROR(N27/L27),"-",N27/L27)</f>
        <v>-</v>
      </c>
      <c r="P27" s="776"/>
      <c r="Q27" s="177">
        <f>Q23+Q25</f>
        <v>0</v>
      </c>
      <c r="R27" s="110">
        <f>R23+R25</f>
        <v>0</v>
      </c>
      <c r="S27" s="110">
        <f>S23+S25</f>
        <v>0</v>
      </c>
      <c r="T27" s="178" t="str">
        <f t="shared" si="4"/>
        <v>-</v>
      </c>
      <c r="U27" s="776"/>
      <c r="V27" s="177">
        <f>V23+V25</f>
        <v>4702249</v>
      </c>
      <c r="W27" s="110">
        <f>W23+W25</f>
        <v>4214770.25</v>
      </c>
      <c r="X27" s="110">
        <f>X23+X25</f>
        <v>-487478.75</v>
      </c>
      <c r="Y27" s="178">
        <f>IF(ISERROR(X27/V27),"-",X27/V27)</f>
        <v>-0.10366927612723188</v>
      </c>
      <c r="Z27" s="776"/>
      <c r="AA27" s="242">
        <f>AA23+AA25</f>
        <v>8920225.8000000007</v>
      </c>
      <c r="AB27" s="109">
        <f>AA27-W27</f>
        <v>4705455.5500000007</v>
      </c>
      <c r="AC27" s="248">
        <f>IF(ISERROR(AB27/AA27),"-",AB27/AA27)</f>
        <v>0.52750408515443636</v>
      </c>
      <c r="AD27" s="775"/>
      <c r="AE27" s="80"/>
    </row>
    <row r="28" spans="1:31" ht="15.75" x14ac:dyDescent="0.25">
      <c r="A28" s="150"/>
      <c r="B28" s="184"/>
      <c r="C28" s="73"/>
      <c r="D28" s="73"/>
      <c r="E28" s="185"/>
      <c r="F28" s="203"/>
      <c r="G28" s="217"/>
      <c r="H28" s="132"/>
      <c r="I28" s="132"/>
      <c r="J28" s="218"/>
      <c r="K28" s="772"/>
      <c r="L28" s="184"/>
      <c r="M28" s="73"/>
      <c r="N28" s="73"/>
      <c r="O28" s="185"/>
      <c r="P28" s="772"/>
      <c r="Q28" s="217"/>
      <c r="R28" s="132"/>
      <c r="S28" s="132"/>
      <c r="T28" s="218"/>
      <c r="U28" s="772"/>
      <c r="V28" s="179"/>
      <c r="W28" s="81"/>
      <c r="X28" s="73"/>
      <c r="Y28" s="185"/>
      <c r="Z28" s="772"/>
      <c r="AA28" s="179"/>
      <c r="AB28" s="73"/>
      <c r="AC28" s="185"/>
      <c r="AD28" s="771"/>
      <c r="AE28" s="77"/>
    </row>
    <row r="29" spans="1:31" ht="15.75" x14ac:dyDescent="0.25">
      <c r="A29" s="148" t="s">
        <v>35</v>
      </c>
      <c r="B29" s="181"/>
      <c r="C29" s="76"/>
      <c r="D29" s="76"/>
      <c r="E29" s="186"/>
      <c r="F29" s="204"/>
      <c r="G29" s="213"/>
      <c r="H29" s="130"/>
      <c r="I29" s="130"/>
      <c r="J29" s="219"/>
      <c r="K29" s="789"/>
      <c r="L29" s="181"/>
      <c r="M29" s="76"/>
      <c r="N29" s="76"/>
      <c r="O29" s="186"/>
      <c r="P29" s="789"/>
      <c r="Q29" s="213"/>
      <c r="R29" s="130"/>
      <c r="S29" s="130"/>
      <c r="T29" s="219"/>
      <c r="U29" s="789"/>
      <c r="V29" s="181"/>
      <c r="W29" s="76"/>
      <c r="X29" s="76"/>
      <c r="Y29" s="186"/>
      <c r="Z29" s="789"/>
      <c r="AA29" s="181"/>
      <c r="AB29" s="76"/>
      <c r="AC29" s="186"/>
      <c r="AD29" s="788"/>
      <c r="AE29" s="77"/>
    </row>
    <row r="30" spans="1:31" ht="15.75" x14ac:dyDescent="0.25">
      <c r="A30" s="151"/>
      <c r="B30" s="181"/>
      <c r="C30" s="76"/>
      <c r="D30" s="76"/>
      <c r="E30" s="186"/>
      <c r="F30" s="204"/>
      <c r="G30" s="213"/>
      <c r="H30" s="130"/>
      <c r="I30" s="130"/>
      <c r="J30" s="219"/>
      <c r="K30" s="789"/>
      <c r="L30" s="181"/>
      <c r="M30" s="76"/>
      <c r="N30" s="76"/>
      <c r="O30" s="234"/>
      <c r="P30" s="789"/>
      <c r="Q30" s="213"/>
      <c r="R30" s="130"/>
      <c r="S30" s="130"/>
      <c r="T30" s="219"/>
      <c r="U30" s="789"/>
      <c r="V30" s="181"/>
      <c r="W30" s="76"/>
      <c r="X30" s="76"/>
      <c r="Y30" s="186"/>
      <c r="Z30" s="789"/>
      <c r="AA30" s="181"/>
      <c r="AB30" s="76"/>
      <c r="AC30" s="186"/>
      <c r="AD30" s="788"/>
      <c r="AE30" s="77"/>
    </row>
    <row r="31" spans="1:31" ht="15.75" x14ac:dyDescent="0.25">
      <c r="A31" s="148" t="s">
        <v>36</v>
      </c>
      <c r="B31" s="181"/>
      <c r="C31" s="76"/>
      <c r="D31" s="76"/>
      <c r="E31" s="186"/>
      <c r="F31" s="204"/>
      <c r="G31" s="213"/>
      <c r="H31" s="130"/>
      <c r="I31" s="130"/>
      <c r="J31" s="219"/>
      <c r="K31" s="789"/>
      <c r="L31" s="181"/>
      <c r="M31" s="76"/>
      <c r="N31" s="76"/>
      <c r="O31" s="186"/>
      <c r="P31" s="789"/>
      <c r="Q31" s="213"/>
      <c r="R31" s="130"/>
      <c r="S31" s="130"/>
      <c r="T31" s="219"/>
      <c r="U31" s="789"/>
      <c r="V31" s="181"/>
      <c r="W31" s="76"/>
      <c r="X31" s="76"/>
      <c r="Y31" s="186"/>
      <c r="Z31" s="789"/>
      <c r="AA31" s="181"/>
      <c r="AB31" s="76"/>
      <c r="AC31" s="186"/>
      <c r="AD31" s="788"/>
      <c r="AE31" s="77"/>
    </row>
    <row r="32" spans="1:31" s="276" customFormat="1" ht="15.75" x14ac:dyDescent="0.25">
      <c r="A32" s="270" t="s">
        <v>37</v>
      </c>
      <c r="B32" s="281">
        <f>281464+6000</f>
        <v>287464</v>
      </c>
      <c r="C32" s="280">
        <f>308245.86+1893.76</f>
        <v>310139.62</v>
      </c>
      <c r="D32" s="280">
        <f t="shared" ref="D32:D39" si="14">B32-C32</f>
        <v>-22675.619999999995</v>
      </c>
      <c r="E32" s="279">
        <f t="shared" ref="E32:E40" si="15">IF(ISERROR(D32/B32),"-",D32/B32)</f>
        <v>-7.888159908719003E-2</v>
      </c>
      <c r="F32" s="287"/>
      <c r="G32" s="281">
        <f>281464+6000</f>
        <v>287464</v>
      </c>
      <c r="H32" s="280">
        <f>308245.86+3224.15</f>
        <v>311470.01</v>
      </c>
      <c r="I32" s="280">
        <f t="shared" ref="I32:I39" si="16">G32-H32</f>
        <v>-24006.010000000009</v>
      </c>
      <c r="J32" s="279">
        <f t="shared" ref="J32:J40" si="17">IF(ISERROR(I32/G32),"-",I32/G32)</f>
        <v>-8.3509622074416312E-2</v>
      </c>
      <c r="K32" s="786"/>
      <c r="L32" s="281">
        <v>0</v>
      </c>
      <c r="M32" s="280"/>
      <c r="N32" s="280"/>
      <c r="O32" s="279" t="str">
        <f t="shared" ref="O32:O40" si="18">IF(ISERROR(N32/L32),"-",N32/L32)</f>
        <v>-</v>
      </c>
      <c r="P32" s="786"/>
      <c r="Q32" s="281">
        <v>0</v>
      </c>
      <c r="R32" s="280">
        <v>0</v>
      </c>
      <c r="S32" s="280">
        <f t="shared" ref="S32:S39" si="19">Q32-R32</f>
        <v>0</v>
      </c>
      <c r="T32" s="279" t="str">
        <f t="shared" ref="T32:T40" si="20">IF(ISERROR(S32/Q32),"-",S32/Q32)</f>
        <v>-</v>
      </c>
      <c r="U32" s="786"/>
      <c r="V32" s="281">
        <f t="shared" ref="V32:W39" si="21">B32+G32+L32+Q32</f>
        <v>574928</v>
      </c>
      <c r="W32" s="280">
        <f t="shared" si="21"/>
        <v>621609.63</v>
      </c>
      <c r="X32" s="280">
        <f t="shared" ref="X32:X39" si="22">V32-W32</f>
        <v>-46681.630000000005</v>
      </c>
      <c r="Y32" s="279">
        <f>IF(ISERROR(X32/V32),"-",X32/V32)</f>
        <v>-8.1195610580803171E-2</v>
      </c>
      <c r="Z32" s="786"/>
      <c r="AA32" s="281">
        <f>1125855.54+24000</f>
        <v>1149855.54</v>
      </c>
      <c r="AB32" s="280">
        <f t="shared" ref="AB32:AB39" si="23">AA32-W32</f>
        <v>528245.91</v>
      </c>
      <c r="AC32" s="279">
        <f>IF(ISERROR(AB32/AA32),"-",AB32/AA32)</f>
        <v>0.45940197844330949</v>
      </c>
      <c r="AD32" s="778"/>
      <c r="AE32" s="668"/>
    </row>
    <row r="33" spans="1:31" s="276" customFormat="1" ht="15.75" x14ac:dyDescent="0.25">
      <c r="A33" s="270" t="s">
        <v>38</v>
      </c>
      <c r="B33" s="281">
        <v>0</v>
      </c>
      <c r="C33" s="280">
        <v>0</v>
      </c>
      <c r="D33" s="280">
        <f t="shared" si="14"/>
        <v>0</v>
      </c>
      <c r="E33" s="279" t="str">
        <f t="shared" si="15"/>
        <v>-</v>
      </c>
      <c r="F33" s="287"/>
      <c r="G33" s="281">
        <v>0</v>
      </c>
      <c r="H33" s="280">
        <v>0</v>
      </c>
      <c r="I33" s="280">
        <f t="shared" si="16"/>
        <v>0</v>
      </c>
      <c r="J33" s="279" t="str">
        <f t="shared" si="17"/>
        <v>-</v>
      </c>
      <c r="K33" s="786"/>
      <c r="L33" s="281">
        <v>0</v>
      </c>
      <c r="M33" s="280"/>
      <c r="N33" s="280"/>
      <c r="O33" s="279" t="str">
        <f t="shared" si="18"/>
        <v>-</v>
      </c>
      <c r="P33" s="786"/>
      <c r="Q33" s="281">
        <v>0</v>
      </c>
      <c r="R33" s="280">
        <v>0</v>
      </c>
      <c r="S33" s="280">
        <f t="shared" si="19"/>
        <v>0</v>
      </c>
      <c r="T33" s="279" t="str">
        <f t="shared" si="20"/>
        <v>-</v>
      </c>
      <c r="U33" s="786"/>
      <c r="V33" s="281">
        <f t="shared" si="21"/>
        <v>0</v>
      </c>
      <c r="W33" s="280">
        <f t="shared" si="21"/>
        <v>0</v>
      </c>
      <c r="X33" s="280">
        <f t="shared" si="22"/>
        <v>0</v>
      </c>
      <c r="Y33" s="279" t="str">
        <f t="shared" ref="Y33:Y38" si="24">IF(ISERROR(X33/V33),"-",X33/V33)</f>
        <v>-</v>
      </c>
      <c r="Z33" s="786"/>
      <c r="AA33" s="281">
        <v>0</v>
      </c>
      <c r="AB33" s="280">
        <f t="shared" si="23"/>
        <v>0</v>
      </c>
      <c r="AC33" s="279" t="str">
        <f t="shared" ref="AC33:AC38" si="25">IF(ISERROR(AB33/AA33),"-",AB33/AA33)</f>
        <v>-</v>
      </c>
      <c r="AD33" s="778"/>
      <c r="AE33" s="666"/>
    </row>
    <row r="34" spans="1:31" s="276" customFormat="1" ht="15.75" x14ac:dyDescent="0.25">
      <c r="A34" s="270" t="s">
        <v>39</v>
      </c>
      <c r="B34" s="281">
        <v>7639</v>
      </c>
      <c r="C34" s="280">
        <v>7627.38</v>
      </c>
      <c r="D34" s="280">
        <f t="shared" si="14"/>
        <v>11.619999999999891</v>
      </c>
      <c r="E34" s="279">
        <f t="shared" si="15"/>
        <v>1.5211415106689214E-3</v>
      </c>
      <c r="F34" s="282"/>
      <c r="G34" s="281">
        <v>7639</v>
      </c>
      <c r="H34" s="280">
        <v>7620.97</v>
      </c>
      <c r="I34" s="280">
        <f t="shared" si="16"/>
        <v>18.029999999999745</v>
      </c>
      <c r="J34" s="787">
        <f t="shared" si="17"/>
        <v>2.3602565780861035E-3</v>
      </c>
      <c r="K34" s="768"/>
      <c r="L34" s="281">
        <v>0</v>
      </c>
      <c r="M34" s="280"/>
      <c r="N34" s="280"/>
      <c r="O34" s="325" t="str">
        <f t="shared" si="18"/>
        <v>-</v>
      </c>
      <c r="P34" s="768"/>
      <c r="Q34" s="281">
        <v>0</v>
      </c>
      <c r="R34" s="280">
        <v>0</v>
      </c>
      <c r="S34" s="280">
        <f t="shared" si="19"/>
        <v>0</v>
      </c>
      <c r="T34" s="325" t="str">
        <f t="shared" si="20"/>
        <v>-</v>
      </c>
      <c r="U34" s="768"/>
      <c r="V34" s="281">
        <f t="shared" si="21"/>
        <v>15278</v>
      </c>
      <c r="W34" s="280">
        <f t="shared" si="21"/>
        <v>15248.35</v>
      </c>
      <c r="X34" s="280">
        <f t="shared" si="22"/>
        <v>29.649999999999636</v>
      </c>
      <c r="Y34" s="279">
        <f t="shared" si="24"/>
        <v>1.9406990443775125E-3</v>
      </c>
      <c r="Z34" s="768"/>
      <c r="AA34" s="281">
        <v>30557.52</v>
      </c>
      <c r="AB34" s="280">
        <f t="shared" si="23"/>
        <v>15309.17</v>
      </c>
      <c r="AC34" s="279">
        <f t="shared" si="25"/>
        <v>0.5009951723830991</v>
      </c>
      <c r="AD34" s="767"/>
      <c r="AE34" s="323"/>
    </row>
    <row r="35" spans="1:31" s="276" customFormat="1" ht="15.75" x14ac:dyDescent="0.25">
      <c r="A35" s="270" t="s">
        <v>40</v>
      </c>
      <c r="B35" s="281">
        <v>13500</v>
      </c>
      <c r="C35" s="280">
        <v>13169.55</v>
      </c>
      <c r="D35" s="280">
        <f t="shared" si="14"/>
        <v>330.45000000000073</v>
      </c>
      <c r="E35" s="279">
        <f t="shared" si="15"/>
        <v>2.4477777777777831E-2</v>
      </c>
      <c r="F35" s="287"/>
      <c r="G35" s="281">
        <v>13500</v>
      </c>
      <c r="H35" s="280">
        <v>13323.55</v>
      </c>
      <c r="I35" s="280">
        <f t="shared" si="16"/>
        <v>176.45000000000073</v>
      </c>
      <c r="J35" s="279">
        <f t="shared" si="17"/>
        <v>1.3070370370370425E-2</v>
      </c>
      <c r="K35" s="786"/>
      <c r="L35" s="281">
        <v>0</v>
      </c>
      <c r="M35" s="280"/>
      <c r="N35" s="280"/>
      <c r="O35" s="279" t="str">
        <f t="shared" si="18"/>
        <v>-</v>
      </c>
      <c r="P35" s="786"/>
      <c r="Q35" s="281">
        <v>0</v>
      </c>
      <c r="R35" s="280">
        <v>0</v>
      </c>
      <c r="S35" s="280">
        <f t="shared" si="19"/>
        <v>0</v>
      </c>
      <c r="T35" s="279" t="str">
        <f t="shared" si="20"/>
        <v>-</v>
      </c>
      <c r="U35" s="786"/>
      <c r="V35" s="281">
        <f t="shared" si="21"/>
        <v>27000</v>
      </c>
      <c r="W35" s="280">
        <f t="shared" si="21"/>
        <v>26493.1</v>
      </c>
      <c r="X35" s="280">
        <f t="shared" si="22"/>
        <v>506.90000000000146</v>
      </c>
      <c r="Y35" s="279">
        <f t="shared" si="24"/>
        <v>1.8774074074074127E-2</v>
      </c>
      <c r="Z35" s="786"/>
      <c r="AA35" s="281">
        <v>54000</v>
      </c>
      <c r="AB35" s="280">
        <f t="shared" si="23"/>
        <v>27506.9</v>
      </c>
      <c r="AC35" s="279">
        <f t="shared" si="25"/>
        <v>0.50938703703703703</v>
      </c>
      <c r="AD35" s="778"/>
      <c r="AE35" s="668"/>
    </row>
    <row r="36" spans="1:31" s="276" customFormat="1" ht="15.75" x14ac:dyDescent="0.25">
      <c r="A36" s="270" t="s">
        <v>41</v>
      </c>
      <c r="B36" s="281">
        <v>13536</v>
      </c>
      <c r="C36" s="280">
        <f>7419.35+5700+4365.42+6355.6</f>
        <v>23840.370000000003</v>
      </c>
      <c r="D36" s="280">
        <f t="shared" si="14"/>
        <v>-10304.370000000003</v>
      </c>
      <c r="E36" s="279">
        <f t="shared" si="15"/>
        <v>-0.7612566489361704</v>
      </c>
      <c r="F36" s="287"/>
      <c r="G36" s="281">
        <v>13536</v>
      </c>
      <c r="H36" s="280">
        <f>5700+4224+3612</f>
        <v>13536</v>
      </c>
      <c r="I36" s="280">
        <f t="shared" si="16"/>
        <v>0</v>
      </c>
      <c r="J36" s="279">
        <f t="shared" si="17"/>
        <v>0</v>
      </c>
      <c r="K36" s="786"/>
      <c r="L36" s="281">
        <v>0</v>
      </c>
      <c r="M36" s="280"/>
      <c r="N36" s="280"/>
      <c r="O36" s="279" t="str">
        <f t="shared" si="18"/>
        <v>-</v>
      </c>
      <c r="P36" s="786"/>
      <c r="Q36" s="281">
        <v>0</v>
      </c>
      <c r="R36" s="280">
        <v>0</v>
      </c>
      <c r="S36" s="280">
        <f t="shared" si="19"/>
        <v>0</v>
      </c>
      <c r="T36" s="279" t="str">
        <f t="shared" si="20"/>
        <v>-</v>
      </c>
      <c r="U36" s="786"/>
      <c r="V36" s="281">
        <f t="shared" si="21"/>
        <v>27072</v>
      </c>
      <c r="W36" s="280">
        <f t="shared" si="21"/>
        <v>37376.370000000003</v>
      </c>
      <c r="X36" s="280">
        <f t="shared" si="22"/>
        <v>-10304.370000000003</v>
      </c>
      <c r="Y36" s="279">
        <f t="shared" si="24"/>
        <v>-0.3806283244680852</v>
      </c>
      <c r="Z36" s="786"/>
      <c r="AA36" s="281">
        <v>54144</v>
      </c>
      <c r="AB36" s="280">
        <f t="shared" si="23"/>
        <v>16767.629999999997</v>
      </c>
      <c r="AC36" s="279">
        <f t="shared" si="25"/>
        <v>0.30968583776595737</v>
      </c>
      <c r="AD36" s="778"/>
      <c r="AE36" s="667"/>
    </row>
    <row r="37" spans="1:31" s="276" customFormat="1" ht="15.75" x14ac:dyDescent="0.25">
      <c r="A37" s="145" t="s">
        <v>42</v>
      </c>
      <c r="B37" s="281">
        <v>0</v>
      </c>
      <c r="C37" s="280">
        <v>0</v>
      </c>
      <c r="D37" s="280">
        <f t="shared" si="14"/>
        <v>0</v>
      </c>
      <c r="E37" s="279" t="str">
        <f t="shared" si="15"/>
        <v>-</v>
      </c>
      <c r="F37" s="287"/>
      <c r="G37" s="281">
        <v>0</v>
      </c>
      <c r="H37" s="280">
        <v>0</v>
      </c>
      <c r="I37" s="280">
        <f t="shared" si="16"/>
        <v>0</v>
      </c>
      <c r="J37" s="279" t="str">
        <f t="shared" si="17"/>
        <v>-</v>
      </c>
      <c r="K37" s="786"/>
      <c r="L37" s="281">
        <v>0</v>
      </c>
      <c r="M37" s="280"/>
      <c r="N37" s="280"/>
      <c r="O37" s="279" t="str">
        <f t="shared" si="18"/>
        <v>-</v>
      </c>
      <c r="P37" s="786"/>
      <c r="Q37" s="281">
        <v>0</v>
      </c>
      <c r="R37" s="280">
        <v>0</v>
      </c>
      <c r="S37" s="280">
        <f t="shared" si="19"/>
        <v>0</v>
      </c>
      <c r="T37" s="279" t="str">
        <f t="shared" si="20"/>
        <v>-</v>
      </c>
      <c r="U37" s="786"/>
      <c r="V37" s="281">
        <f t="shared" si="21"/>
        <v>0</v>
      </c>
      <c r="W37" s="280">
        <f t="shared" si="21"/>
        <v>0</v>
      </c>
      <c r="X37" s="280">
        <f t="shared" si="22"/>
        <v>0</v>
      </c>
      <c r="Y37" s="279" t="str">
        <f t="shared" si="24"/>
        <v>-</v>
      </c>
      <c r="Z37" s="786"/>
      <c r="AA37" s="281">
        <v>0</v>
      </c>
      <c r="AB37" s="280">
        <f t="shared" si="23"/>
        <v>0</v>
      </c>
      <c r="AC37" s="279" t="str">
        <f t="shared" si="25"/>
        <v>-</v>
      </c>
      <c r="AD37" s="778"/>
      <c r="AE37" s="666"/>
    </row>
    <row r="38" spans="1:31" s="276" customFormat="1" ht="15.75" x14ac:dyDescent="0.25">
      <c r="A38" s="270" t="s">
        <v>156</v>
      </c>
      <c r="B38" s="281">
        <v>0</v>
      </c>
      <c r="C38" s="280">
        <v>0</v>
      </c>
      <c r="D38" s="280">
        <f t="shared" si="14"/>
        <v>0</v>
      </c>
      <c r="E38" s="325" t="str">
        <f t="shared" si="15"/>
        <v>-</v>
      </c>
      <c r="F38" s="282"/>
      <c r="G38" s="281">
        <v>0</v>
      </c>
      <c r="H38" s="280">
        <v>0</v>
      </c>
      <c r="I38" s="280">
        <f t="shared" si="16"/>
        <v>0</v>
      </c>
      <c r="J38" s="325" t="str">
        <f t="shared" si="17"/>
        <v>-</v>
      </c>
      <c r="K38" s="768"/>
      <c r="L38" s="281">
        <v>0</v>
      </c>
      <c r="M38" s="280"/>
      <c r="N38" s="280"/>
      <c r="O38" s="325" t="str">
        <f t="shared" si="18"/>
        <v>-</v>
      </c>
      <c r="P38" s="768"/>
      <c r="Q38" s="281">
        <v>0</v>
      </c>
      <c r="R38" s="280">
        <v>0</v>
      </c>
      <c r="S38" s="280">
        <f t="shared" si="19"/>
        <v>0</v>
      </c>
      <c r="T38" s="325" t="str">
        <f t="shared" si="20"/>
        <v>-</v>
      </c>
      <c r="U38" s="768"/>
      <c r="V38" s="281">
        <f t="shared" si="21"/>
        <v>0</v>
      </c>
      <c r="W38" s="280">
        <f t="shared" si="21"/>
        <v>0</v>
      </c>
      <c r="X38" s="280">
        <f t="shared" si="22"/>
        <v>0</v>
      </c>
      <c r="Y38" s="279" t="str">
        <f t="shared" si="24"/>
        <v>-</v>
      </c>
      <c r="Z38" s="768"/>
      <c r="AA38" s="281">
        <v>0</v>
      </c>
      <c r="AB38" s="280">
        <f t="shared" si="23"/>
        <v>0</v>
      </c>
      <c r="AC38" s="279" t="str">
        <f t="shared" si="25"/>
        <v>-</v>
      </c>
      <c r="AD38" s="767"/>
      <c r="AE38" s="323"/>
    </row>
    <row r="39" spans="1:31" s="276" customFormat="1" ht="15.75" x14ac:dyDescent="0.25">
      <c r="A39" s="791" t="s">
        <v>44</v>
      </c>
      <c r="B39" s="651">
        <v>26900</v>
      </c>
      <c r="C39" s="650">
        <f>23939.38+1048.82-0.1</f>
        <v>24988.100000000002</v>
      </c>
      <c r="D39" s="650">
        <f t="shared" si="14"/>
        <v>1911.8999999999978</v>
      </c>
      <c r="E39" s="652">
        <f t="shared" si="15"/>
        <v>7.1074349442379101E-2</v>
      </c>
      <c r="F39" s="663"/>
      <c r="G39" s="651">
        <v>26900</v>
      </c>
      <c r="H39" s="650">
        <f>23940+1064.32-0.1+875+6.49</f>
        <v>25885.710000000003</v>
      </c>
      <c r="I39" s="650">
        <f t="shared" si="16"/>
        <v>1014.2899999999972</v>
      </c>
      <c r="J39" s="652">
        <f t="shared" si="17"/>
        <v>3.7705947955390229E-2</v>
      </c>
      <c r="K39" s="789"/>
      <c r="L39" s="651">
        <v>0</v>
      </c>
      <c r="M39" s="650"/>
      <c r="N39" s="650"/>
      <c r="O39" s="652" t="str">
        <f t="shared" si="18"/>
        <v>-</v>
      </c>
      <c r="P39" s="789"/>
      <c r="Q39" s="651">
        <v>0</v>
      </c>
      <c r="R39" s="650">
        <v>0</v>
      </c>
      <c r="S39" s="650">
        <f t="shared" si="19"/>
        <v>0</v>
      </c>
      <c r="T39" s="652" t="str">
        <f t="shared" si="20"/>
        <v>-</v>
      </c>
      <c r="U39" s="789"/>
      <c r="V39" s="651">
        <f t="shared" si="21"/>
        <v>53800</v>
      </c>
      <c r="W39" s="650">
        <f t="shared" si="21"/>
        <v>50873.810000000005</v>
      </c>
      <c r="X39" s="650">
        <f t="shared" si="22"/>
        <v>2926.1899999999951</v>
      </c>
      <c r="Y39" s="652">
        <f>IF(ISERROR(X39/V39),"-",X39/V39)</f>
        <v>5.4390148698884665E-2</v>
      </c>
      <c r="Z39" s="789"/>
      <c r="AA39" s="651">
        <f>5000+102600</f>
        <v>107600</v>
      </c>
      <c r="AB39" s="650">
        <f t="shared" si="23"/>
        <v>56726.189999999995</v>
      </c>
      <c r="AC39" s="652">
        <f>IF(ISERROR(AB39/AA39),"-",AB39/AA39)</f>
        <v>0.52719507434944235</v>
      </c>
      <c r="AD39" s="788"/>
      <c r="AE39" s="666"/>
    </row>
    <row r="40" spans="1:31" s="276" customFormat="1" ht="15.75" x14ac:dyDescent="0.25">
      <c r="A40" s="146" t="s">
        <v>45</v>
      </c>
      <c r="B40" s="177">
        <f>SUM(B32:B39)</f>
        <v>349039</v>
      </c>
      <c r="C40" s="110">
        <f>SUM(C32:C39)</f>
        <v>379765.01999999996</v>
      </c>
      <c r="D40" s="110">
        <f>SUM(D32:D39)</f>
        <v>-30726.02</v>
      </c>
      <c r="E40" s="178">
        <f t="shared" si="15"/>
        <v>-8.8030334719042855E-2</v>
      </c>
      <c r="F40" s="786"/>
      <c r="G40" s="177">
        <f>SUM(G32:G39)</f>
        <v>349039</v>
      </c>
      <c r="H40" s="110">
        <f>SUM(H32:H39)</f>
        <v>371836.24</v>
      </c>
      <c r="I40" s="110">
        <f>SUM(I32:I39)</f>
        <v>-22797.240000000013</v>
      </c>
      <c r="J40" s="178">
        <f t="shared" si="17"/>
        <v>-6.5314305851208634E-2</v>
      </c>
      <c r="K40" s="786"/>
      <c r="L40" s="177">
        <f>SUM(L32:L39)</f>
        <v>0</v>
      </c>
      <c r="M40" s="110"/>
      <c r="N40" s="110"/>
      <c r="O40" s="178" t="str">
        <f t="shared" si="18"/>
        <v>-</v>
      </c>
      <c r="P40" s="786"/>
      <c r="Q40" s="177">
        <f>SUM(Q32:Q39)</f>
        <v>0</v>
      </c>
      <c r="R40" s="110">
        <f>SUM(R32:R39)</f>
        <v>0</v>
      </c>
      <c r="S40" s="110">
        <f>SUM(S32:S39)</f>
        <v>0</v>
      </c>
      <c r="T40" s="178" t="str">
        <f t="shared" si="20"/>
        <v>-</v>
      </c>
      <c r="U40" s="786"/>
      <c r="V40" s="177">
        <f>SUM(V32:V39)</f>
        <v>698078</v>
      </c>
      <c r="W40" s="110">
        <f>SUM(W32:W39)</f>
        <v>751601.26</v>
      </c>
      <c r="X40" s="110">
        <f>SUM(X32:X39)</f>
        <v>-53523.260000000009</v>
      </c>
      <c r="Y40" s="178">
        <f>IF(ISERROR(X40/V40),"-",X40/V40)</f>
        <v>-7.6672320285125745E-2</v>
      </c>
      <c r="Z40" s="786"/>
      <c r="AA40" s="242">
        <f>SUM(AA32:AA39)</f>
        <v>1396157.06</v>
      </c>
      <c r="AB40" s="109">
        <f>SUM(AB32:AB39)</f>
        <v>644555.80000000005</v>
      </c>
      <c r="AC40" s="243">
        <f>IF(ISERROR(AB40/AA40),"-",AB40/AA40)</f>
        <v>0.46166424857673249</v>
      </c>
      <c r="AD40" s="778"/>
      <c r="AE40" s="665"/>
    </row>
    <row r="41" spans="1:31" s="276" customFormat="1" x14ac:dyDescent="0.25">
      <c r="A41" s="790"/>
      <c r="B41" s="638"/>
      <c r="C41" s="639"/>
      <c r="D41" s="639"/>
      <c r="E41" s="664"/>
      <c r="F41" s="663"/>
      <c r="G41" s="638"/>
      <c r="H41" s="639"/>
      <c r="I41" s="639"/>
      <c r="J41" s="664"/>
      <c r="K41" s="789"/>
      <c r="L41" s="638"/>
      <c r="M41" s="639"/>
      <c r="N41" s="639"/>
      <c r="O41" s="664"/>
      <c r="P41" s="789"/>
      <c r="Q41" s="638"/>
      <c r="R41" s="639"/>
      <c r="S41" s="639"/>
      <c r="T41" s="664"/>
      <c r="U41" s="789"/>
      <c r="V41" s="638"/>
      <c r="W41" s="639"/>
      <c r="X41" s="639"/>
      <c r="Y41" s="662"/>
      <c r="Z41" s="789"/>
      <c r="AA41" s="638"/>
      <c r="AB41" s="639"/>
      <c r="AC41" s="662"/>
      <c r="AD41" s="788"/>
      <c r="AE41" s="323"/>
    </row>
    <row r="42" spans="1:31" s="276" customFormat="1" ht="15.75" x14ac:dyDescent="0.25">
      <c r="A42" s="769" t="s">
        <v>46</v>
      </c>
      <c r="B42" s="657"/>
      <c r="C42" s="658"/>
      <c r="D42" s="658"/>
      <c r="E42" s="659"/>
      <c r="F42" s="297"/>
      <c r="G42" s="657"/>
      <c r="H42" s="658"/>
      <c r="I42" s="658"/>
      <c r="J42" s="659"/>
      <c r="K42" s="772"/>
      <c r="L42" s="657"/>
      <c r="M42" s="658"/>
      <c r="N42" s="658"/>
      <c r="O42" s="659"/>
      <c r="P42" s="772"/>
      <c r="Q42" s="657"/>
      <c r="R42" s="658"/>
      <c r="S42" s="658"/>
      <c r="T42" s="659"/>
      <c r="U42" s="772"/>
      <c r="V42" s="657"/>
      <c r="W42" s="658"/>
      <c r="X42" s="280"/>
      <c r="Y42" s="656"/>
      <c r="Z42" s="772"/>
      <c r="AA42" s="657"/>
      <c r="AB42" s="280"/>
      <c r="AC42" s="656"/>
      <c r="AD42" s="771"/>
      <c r="AE42" s="323"/>
    </row>
    <row r="43" spans="1:31" s="276" customFormat="1" ht="15.75" x14ac:dyDescent="0.25">
      <c r="A43" s="270" t="s">
        <v>47</v>
      </c>
      <c r="B43" s="281">
        <v>3000</v>
      </c>
      <c r="C43" s="280">
        <v>161.29</v>
      </c>
      <c r="D43" s="280">
        <f t="shared" ref="D43:D75" si="26">B43-C43</f>
        <v>2838.71</v>
      </c>
      <c r="E43" s="279">
        <f t="shared" ref="E43:E76" si="27">IF(ISERROR(D43/B43),"-",D43/B43)</f>
        <v>0.94623666666666673</v>
      </c>
      <c r="F43" s="287"/>
      <c r="G43" s="281">
        <v>3000</v>
      </c>
      <c r="H43" s="280">
        <v>0</v>
      </c>
      <c r="I43" s="280">
        <f t="shared" ref="I43:I75" si="28">G43-H43</f>
        <v>3000</v>
      </c>
      <c r="J43" s="279">
        <f t="shared" ref="J43:J76" si="29">IF(ISERROR(I43/G43),"-",I43/G43)</f>
        <v>1</v>
      </c>
      <c r="K43" s="786"/>
      <c r="L43" s="281">
        <v>0</v>
      </c>
      <c r="M43" s="280"/>
      <c r="N43" s="280"/>
      <c r="O43" s="279" t="str">
        <f t="shared" ref="O43:O73" si="30">IF(ISERROR(N43/L43),"-",N43/L43)</f>
        <v>-</v>
      </c>
      <c r="P43" s="786"/>
      <c r="Q43" s="281">
        <v>0</v>
      </c>
      <c r="R43" s="280">
        <v>0</v>
      </c>
      <c r="S43" s="280">
        <f t="shared" ref="S43:S74" si="31">Q43-R43</f>
        <v>0</v>
      </c>
      <c r="T43" s="279" t="str">
        <f t="shared" ref="T43:T73" si="32">IF(ISERROR(S43/Q43),"-",S43/Q43)</f>
        <v>-</v>
      </c>
      <c r="U43" s="786"/>
      <c r="V43" s="281">
        <f t="shared" ref="V43:V75" si="33">B43+G43+L43+Q43</f>
        <v>6000</v>
      </c>
      <c r="W43" s="280">
        <f t="shared" ref="W43:W75" si="34">C43+H43+M43+R43</f>
        <v>161.29</v>
      </c>
      <c r="X43" s="280">
        <f t="shared" ref="X43:X75" si="35">V43-W43</f>
        <v>5838.71</v>
      </c>
      <c r="Y43" s="279">
        <f t="shared" ref="Y43:Y60" si="36">IF(ISERROR(X43/V43),"-",X43/V43)</f>
        <v>0.97311833333333331</v>
      </c>
      <c r="Z43" s="786"/>
      <c r="AA43" s="281">
        <v>12000</v>
      </c>
      <c r="AB43" s="280">
        <f t="shared" ref="AB43:AB75" si="37">AA43-W43</f>
        <v>11838.71</v>
      </c>
      <c r="AC43" s="279">
        <f t="shared" ref="AC43:AC55" si="38">IF(ISERROR(AB43/AA43),"-",AB43/AA43)</f>
        <v>0.98655916666666654</v>
      </c>
      <c r="AD43" s="778"/>
      <c r="AE43" s="328"/>
    </row>
    <row r="44" spans="1:31" s="276" customFormat="1" ht="16.5" customHeight="1" x14ac:dyDescent="0.25">
      <c r="A44" s="270" t="s">
        <v>48</v>
      </c>
      <c r="B44" s="281">
        <v>0</v>
      </c>
      <c r="C44" s="280">
        <v>0</v>
      </c>
      <c r="D44" s="280">
        <f t="shared" si="26"/>
        <v>0</v>
      </c>
      <c r="E44" s="279" t="str">
        <f t="shared" si="27"/>
        <v>-</v>
      </c>
      <c r="F44" s="282"/>
      <c r="G44" s="281">
        <v>0</v>
      </c>
      <c r="H44" s="280">
        <v>0</v>
      </c>
      <c r="I44" s="280">
        <f t="shared" si="28"/>
        <v>0</v>
      </c>
      <c r="J44" s="279" t="str">
        <f t="shared" si="29"/>
        <v>-</v>
      </c>
      <c r="K44" s="768"/>
      <c r="L44" s="281">
        <v>0</v>
      </c>
      <c r="M44" s="280"/>
      <c r="N44" s="280"/>
      <c r="O44" s="279" t="str">
        <f t="shared" si="30"/>
        <v>-</v>
      </c>
      <c r="P44" s="768"/>
      <c r="Q44" s="281">
        <v>0</v>
      </c>
      <c r="R44" s="280">
        <v>0</v>
      </c>
      <c r="S44" s="280">
        <f t="shared" si="31"/>
        <v>0</v>
      </c>
      <c r="T44" s="279" t="str">
        <f t="shared" si="32"/>
        <v>-</v>
      </c>
      <c r="U44" s="768"/>
      <c r="V44" s="281">
        <f t="shared" si="33"/>
        <v>0</v>
      </c>
      <c r="W44" s="280">
        <f t="shared" si="34"/>
        <v>0</v>
      </c>
      <c r="X44" s="280">
        <f t="shared" si="35"/>
        <v>0</v>
      </c>
      <c r="Y44" s="279" t="str">
        <f t="shared" si="36"/>
        <v>-</v>
      </c>
      <c r="Z44" s="768"/>
      <c r="AA44" s="281">
        <v>0</v>
      </c>
      <c r="AB44" s="280">
        <f t="shared" si="37"/>
        <v>0</v>
      </c>
      <c r="AC44" s="279" t="str">
        <f t="shared" si="38"/>
        <v>-</v>
      </c>
      <c r="AD44" s="767"/>
      <c r="AE44" s="323"/>
    </row>
    <row r="45" spans="1:31" s="276" customFormat="1" ht="15.75" x14ac:dyDescent="0.25">
      <c r="A45" s="270" t="s">
        <v>49</v>
      </c>
      <c r="B45" s="281">
        <v>0</v>
      </c>
      <c r="C45" s="280">
        <v>0</v>
      </c>
      <c r="D45" s="280">
        <f t="shared" si="26"/>
        <v>0</v>
      </c>
      <c r="E45" s="325" t="str">
        <f t="shared" si="27"/>
        <v>-</v>
      </c>
      <c r="F45" s="282"/>
      <c r="G45" s="281">
        <v>0</v>
      </c>
      <c r="H45" s="280">
        <v>0</v>
      </c>
      <c r="I45" s="280">
        <f t="shared" si="28"/>
        <v>0</v>
      </c>
      <c r="J45" s="325" t="str">
        <f t="shared" si="29"/>
        <v>-</v>
      </c>
      <c r="K45" s="768"/>
      <c r="L45" s="281">
        <v>0</v>
      </c>
      <c r="M45" s="280"/>
      <c r="N45" s="280"/>
      <c r="O45" s="325" t="str">
        <f t="shared" si="30"/>
        <v>-</v>
      </c>
      <c r="P45" s="768"/>
      <c r="Q45" s="281">
        <v>0</v>
      </c>
      <c r="R45" s="280">
        <v>0</v>
      </c>
      <c r="S45" s="280">
        <f t="shared" si="31"/>
        <v>0</v>
      </c>
      <c r="T45" s="325" t="str">
        <f t="shared" si="32"/>
        <v>-</v>
      </c>
      <c r="U45" s="768"/>
      <c r="V45" s="281">
        <f t="shared" si="33"/>
        <v>0</v>
      </c>
      <c r="W45" s="280">
        <f t="shared" si="34"/>
        <v>0</v>
      </c>
      <c r="X45" s="280">
        <f t="shared" si="35"/>
        <v>0</v>
      </c>
      <c r="Y45" s="325" t="str">
        <f t="shared" si="36"/>
        <v>-</v>
      </c>
      <c r="Z45" s="768"/>
      <c r="AA45" s="281">
        <v>0</v>
      </c>
      <c r="AB45" s="280">
        <f t="shared" si="37"/>
        <v>0</v>
      </c>
      <c r="AC45" s="325" t="str">
        <f t="shared" si="38"/>
        <v>-</v>
      </c>
      <c r="AD45" s="767"/>
      <c r="AE45" s="323"/>
    </row>
    <row r="46" spans="1:31" s="276" customFormat="1" ht="15.75" x14ac:dyDescent="0.25">
      <c r="A46" s="270" t="s">
        <v>50</v>
      </c>
      <c r="B46" s="281">
        <v>15000</v>
      </c>
      <c r="C46" s="280">
        <v>14782.02</v>
      </c>
      <c r="D46" s="280">
        <f t="shared" si="26"/>
        <v>217.97999999999956</v>
      </c>
      <c r="E46" s="279">
        <f t="shared" si="27"/>
        <v>1.453199999999997E-2</v>
      </c>
      <c r="F46" s="282"/>
      <c r="G46" s="281">
        <v>15000</v>
      </c>
      <c r="H46" s="280">
        <v>13489.54</v>
      </c>
      <c r="I46" s="280">
        <f t="shared" si="28"/>
        <v>1510.4599999999991</v>
      </c>
      <c r="J46" s="279">
        <f t="shared" si="29"/>
        <v>0.10069733333333328</v>
      </c>
      <c r="K46" s="768"/>
      <c r="L46" s="281">
        <v>0</v>
      </c>
      <c r="M46" s="280"/>
      <c r="N46" s="280"/>
      <c r="O46" s="279" t="str">
        <f t="shared" si="30"/>
        <v>-</v>
      </c>
      <c r="P46" s="768"/>
      <c r="Q46" s="281">
        <v>0</v>
      </c>
      <c r="R46" s="280">
        <v>0</v>
      </c>
      <c r="S46" s="280">
        <f t="shared" si="31"/>
        <v>0</v>
      </c>
      <c r="T46" s="279" t="str">
        <f t="shared" si="32"/>
        <v>-</v>
      </c>
      <c r="U46" s="768"/>
      <c r="V46" s="281">
        <f t="shared" si="33"/>
        <v>30000</v>
      </c>
      <c r="W46" s="280">
        <f t="shared" si="34"/>
        <v>28271.56</v>
      </c>
      <c r="X46" s="280">
        <f t="shared" si="35"/>
        <v>1728.4399999999987</v>
      </c>
      <c r="Y46" s="279">
        <f t="shared" si="36"/>
        <v>5.761466666666662E-2</v>
      </c>
      <c r="Z46" s="768"/>
      <c r="AA46" s="281">
        <v>60000</v>
      </c>
      <c r="AB46" s="280">
        <f t="shared" si="37"/>
        <v>31728.44</v>
      </c>
      <c r="AC46" s="279">
        <f t="shared" si="38"/>
        <v>0.5288073333333333</v>
      </c>
      <c r="AD46" s="767"/>
      <c r="AE46" s="328"/>
    </row>
    <row r="47" spans="1:31" s="276" customFormat="1" ht="15.75" x14ac:dyDescent="0.25">
      <c r="A47" s="270" t="s">
        <v>51</v>
      </c>
      <c r="B47" s="281">
        <v>0</v>
      </c>
      <c r="C47" s="280">
        <v>0</v>
      </c>
      <c r="D47" s="280">
        <f t="shared" si="26"/>
        <v>0</v>
      </c>
      <c r="E47" s="325" t="str">
        <f t="shared" si="27"/>
        <v>-</v>
      </c>
      <c r="F47" s="282"/>
      <c r="G47" s="281">
        <v>0</v>
      </c>
      <c r="H47" s="280">
        <v>0</v>
      </c>
      <c r="I47" s="280">
        <f t="shared" si="28"/>
        <v>0</v>
      </c>
      <c r="J47" s="325" t="str">
        <f t="shared" si="29"/>
        <v>-</v>
      </c>
      <c r="K47" s="768"/>
      <c r="L47" s="281">
        <v>0</v>
      </c>
      <c r="M47" s="280"/>
      <c r="N47" s="280"/>
      <c r="O47" s="325" t="str">
        <f t="shared" si="30"/>
        <v>-</v>
      </c>
      <c r="P47" s="768"/>
      <c r="Q47" s="281">
        <v>0</v>
      </c>
      <c r="R47" s="280">
        <v>0</v>
      </c>
      <c r="S47" s="280">
        <f t="shared" si="31"/>
        <v>0</v>
      </c>
      <c r="T47" s="325" t="str">
        <f t="shared" si="32"/>
        <v>-</v>
      </c>
      <c r="U47" s="768"/>
      <c r="V47" s="281">
        <f t="shared" si="33"/>
        <v>0</v>
      </c>
      <c r="W47" s="280">
        <f t="shared" si="34"/>
        <v>0</v>
      </c>
      <c r="X47" s="280">
        <f t="shared" si="35"/>
        <v>0</v>
      </c>
      <c r="Y47" s="325" t="str">
        <f t="shared" si="36"/>
        <v>-</v>
      </c>
      <c r="Z47" s="768"/>
      <c r="AA47" s="281">
        <v>0</v>
      </c>
      <c r="AB47" s="280">
        <f t="shared" si="37"/>
        <v>0</v>
      </c>
      <c r="AC47" s="325" t="str">
        <f t="shared" si="38"/>
        <v>-</v>
      </c>
      <c r="AD47" s="767"/>
      <c r="AE47" s="323"/>
    </row>
    <row r="48" spans="1:31" s="276" customFormat="1" ht="15.75" x14ac:dyDescent="0.25">
      <c r="A48" s="270" t="s">
        <v>52</v>
      </c>
      <c r="B48" s="281">
        <v>7200</v>
      </c>
      <c r="C48" s="280">
        <v>3483.04</v>
      </c>
      <c r="D48" s="280">
        <f t="shared" si="26"/>
        <v>3716.96</v>
      </c>
      <c r="E48" s="279">
        <f t="shared" si="27"/>
        <v>0.51624444444444439</v>
      </c>
      <c r="F48" s="287"/>
      <c r="G48" s="281">
        <v>7200</v>
      </c>
      <c r="H48" s="280">
        <v>5500.8</v>
      </c>
      <c r="I48" s="280">
        <f t="shared" si="28"/>
        <v>1699.1999999999998</v>
      </c>
      <c r="J48" s="279">
        <f t="shared" si="29"/>
        <v>0.23599999999999999</v>
      </c>
      <c r="K48" s="786"/>
      <c r="L48" s="281">
        <v>0</v>
      </c>
      <c r="M48" s="280"/>
      <c r="N48" s="280"/>
      <c r="O48" s="279" t="str">
        <f t="shared" si="30"/>
        <v>-</v>
      </c>
      <c r="P48" s="786"/>
      <c r="Q48" s="281">
        <v>0</v>
      </c>
      <c r="R48" s="280">
        <v>0</v>
      </c>
      <c r="S48" s="280">
        <f t="shared" si="31"/>
        <v>0</v>
      </c>
      <c r="T48" s="279" t="str">
        <f t="shared" si="32"/>
        <v>-</v>
      </c>
      <c r="U48" s="786"/>
      <c r="V48" s="281">
        <f t="shared" si="33"/>
        <v>14400</v>
      </c>
      <c r="W48" s="280">
        <f t="shared" si="34"/>
        <v>8983.84</v>
      </c>
      <c r="X48" s="280">
        <f t="shared" si="35"/>
        <v>5416.16</v>
      </c>
      <c r="Y48" s="279">
        <f t="shared" si="36"/>
        <v>0.37612222222222219</v>
      </c>
      <c r="Z48" s="786"/>
      <c r="AA48" s="281">
        <v>28800</v>
      </c>
      <c r="AB48" s="280">
        <f t="shared" si="37"/>
        <v>19816.16</v>
      </c>
      <c r="AC48" s="279">
        <f t="shared" si="38"/>
        <v>0.68806111111111112</v>
      </c>
      <c r="AD48" s="778"/>
      <c r="AE48" s="327"/>
    </row>
    <row r="49" spans="1:31" s="276" customFormat="1" ht="15.75" x14ac:dyDescent="0.25">
      <c r="A49" s="270" t="s">
        <v>53</v>
      </c>
      <c r="B49" s="281">
        <v>0</v>
      </c>
      <c r="C49" s="280">
        <v>0</v>
      </c>
      <c r="D49" s="280">
        <f t="shared" si="26"/>
        <v>0</v>
      </c>
      <c r="E49" s="279" t="str">
        <f t="shared" si="27"/>
        <v>-</v>
      </c>
      <c r="F49" s="287"/>
      <c r="G49" s="281">
        <v>15000</v>
      </c>
      <c r="H49" s="280">
        <v>0</v>
      </c>
      <c r="I49" s="280">
        <f t="shared" si="28"/>
        <v>15000</v>
      </c>
      <c r="J49" s="279">
        <f t="shared" si="29"/>
        <v>1</v>
      </c>
      <c r="K49" s="786"/>
      <c r="L49" s="281">
        <v>0</v>
      </c>
      <c r="M49" s="280"/>
      <c r="N49" s="280"/>
      <c r="O49" s="279" t="str">
        <f t="shared" si="30"/>
        <v>-</v>
      </c>
      <c r="P49" s="786"/>
      <c r="Q49" s="281">
        <v>0</v>
      </c>
      <c r="R49" s="280">
        <v>0</v>
      </c>
      <c r="S49" s="280">
        <f t="shared" si="31"/>
        <v>0</v>
      </c>
      <c r="T49" s="279" t="str">
        <f t="shared" si="32"/>
        <v>-</v>
      </c>
      <c r="U49" s="786"/>
      <c r="V49" s="281">
        <f t="shared" si="33"/>
        <v>15000</v>
      </c>
      <c r="W49" s="280">
        <f t="shared" si="34"/>
        <v>0</v>
      </c>
      <c r="X49" s="280">
        <f t="shared" si="35"/>
        <v>15000</v>
      </c>
      <c r="Y49" s="279">
        <f t="shared" si="36"/>
        <v>1</v>
      </c>
      <c r="Z49" s="786"/>
      <c r="AA49" s="281">
        <v>0</v>
      </c>
      <c r="AB49" s="280">
        <f t="shared" si="37"/>
        <v>0</v>
      </c>
      <c r="AC49" s="279" t="str">
        <f t="shared" si="38"/>
        <v>-</v>
      </c>
      <c r="AD49" s="778"/>
      <c r="AE49" s="326"/>
    </row>
    <row r="50" spans="1:31" s="276" customFormat="1" ht="15.75" x14ac:dyDescent="0.25">
      <c r="A50" s="270" t="s">
        <v>224</v>
      </c>
      <c r="B50" s="281">
        <v>0</v>
      </c>
      <c r="C50" s="280">
        <v>21407.64</v>
      </c>
      <c r="D50" s="280">
        <f t="shared" si="26"/>
        <v>-21407.64</v>
      </c>
      <c r="E50" s="279" t="str">
        <f t="shared" si="27"/>
        <v>-</v>
      </c>
      <c r="F50" s="282"/>
      <c r="G50" s="281">
        <v>0</v>
      </c>
      <c r="H50" s="280">
        <v>18484.740000000002</v>
      </c>
      <c r="I50" s="280">
        <f t="shared" si="28"/>
        <v>-18484.740000000002</v>
      </c>
      <c r="J50" s="279" t="str">
        <f t="shared" si="29"/>
        <v>-</v>
      </c>
      <c r="K50" s="768"/>
      <c r="L50" s="281">
        <v>0</v>
      </c>
      <c r="M50" s="280"/>
      <c r="N50" s="280"/>
      <c r="O50" s="279" t="str">
        <f t="shared" si="30"/>
        <v>-</v>
      </c>
      <c r="P50" s="768"/>
      <c r="Q50" s="281">
        <v>0</v>
      </c>
      <c r="R50" s="280">
        <v>0</v>
      </c>
      <c r="S50" s="280">
        <f t="shared" si="31"/>
        <v>0</v>
      </c>
      <c r="T50" s="279" t="str">
        <f t="shared" si="32"/>
        <v>-</v>
      </c>
      <c r="U50" s="768"/>
      <c r="V50" s="281">
        <f t="shared" si="33"/>
        <v>0</v>
      </c>
      <c r="W50" s="280">
        <f t="shared" si="34"/>
        <v>39892.380000000005</v>
      </c>
      <c r="X50" s="280">
        <f t="shared" si="35"/>
        <v>-39892.380000000005</v>
      </c>
      <c r="Y50" s="279" t="str">
        <f t="shared" si="36"/>
        <v>-</v>
      </c>
      <c r="Z50" s="768"/>
      <c r="AA50" s="281">
        <v>0</v>
      </c>
      <c r="AB50" s="280">
        <f t="shared" si="37"/>
        <v>-39892.380000000005</v>
      </c>
      <c r="AC50" s="279" t="str">
        <f t="shared" si="38"/>
        <v>-</v>
      </c>
      <c r="AD50" s="767"/>
      <c r="AE50" s="323"/>
    </row>
    <row r="51" spans="1:31" s="276" customFormat="1" ht="15.75" x14ac:dyDescent="0.25">
      <c r="A51" s="270" t="s">
        <v>55</v>
      </c>
      <c r="B51" s="281">
        <v>0</v>
      </c>
      <c r="C51" s="280">
        <v>0</v>
      </c>
      <c r="D51" s="280">
        <f t="shared" si="26"/>
        <v>0</v>
      </c>
      <c r="E51" s="279" t="str">
        <f t="shared" si="27"/>
        <v>-</v>
      </c>
      <c r="F51" s="282"/>
      <c r="G51" s="281">
        <v>0</v>
      </c>
      <c r="H51" s="280">
        <v>0</v>
      </c>
      <c r="I51" s="280">
        <f t="shared" si="28"/>
        <v>0</v>
      </c>
      <c r="J51" s="279" t="str">
        <f t="shared" si="29"/>
        <v>-</v>
      </c>
      <c r="K51" s="768"/>
      <c r="L51" s="281">
        <v>0</v>
      </c>
      <c r="M51" s="280"/>
      <c r="N51" s="280"/>
      <c r="O51" s="279" t="str">
        <f t="shared" si="30"/>
        <v>-</v>
      </c>
      <c r="P51" s="768"/>
      <c r="Q51" s="281">
        <v>0</v>
      </c>
      <c r="R51" s="280">
        <v>0</v>
      </c>
      <c r="S51" s="280">
        <f t="shared" si="31"/>
        <v>0</v>
      </c>
      <c r="T51" s="279" t="str">
        <f t="shared" si="32"/>
        <v>-</v>
      </c>
      <c r="U51" s="768"/>
      <c r="V51" s="281">
        <f t="shared" si="33"/>
        <v>0</v>
      </c>
      <c r="W51" s="280">
        <f t="shared" si="34"/>
        <v>0</v>
      </c>
      <c r="X51" s="280">
        <f t="shared" si="35"/>
        <v>0</v>
      </c>
      <c r="Y51" s="279" t="str">
        <f t="shared" si="36"/>
        <v>-</v>
      </c>
      <c r="Z51" s="768"/>
      <c r="AA51" s="281">
        <v>0</v>
      </c>
      <c r="AB51" s="280">
        <f t="shared" si="37"/>
        <v>0</v>
      </c>
      <c r="AC51" s="279" t="str">
        <f t="shared" si="38"/>
        <v>-</v>
      </c>
      <c r="AD51" s="767"/>
      <c r="AE51" s="277"/>
    </row>
    <row r="52" spans="1:31" s="276" customFormat="1" ht="15.75" x14ac:dyDescent="0.25">
      <c r="A52" s="270" t="s">
        <v>56</v>
      </c>
      <c r="B52" s="281">
        <v>15000</v>
      </c>
      <c r="C52" s="280">
        <v>16750</v>
      </c>
      <c r="D52" s="280">
        <f t="shared" si="26"/>
        <v>-1750</v>
      </c>
      <c r="E52" s="279">
        <f t="shared" si="27"/>
        <v>-0.11666666666666667</v>
      </c>
      <c r="F52" s="282"/>
      <c r="G52" s="281">
        <v>15000</v>
      </c>
      <c r="H52" s="280">
        <v>15875</v>
      </c>
      <c r="I52" s="280">
        <f t="shared" si="28"/>
        <v>-875</v>
      </c>
      <c r="J52" s="279">
        <f t="shared" si="29"/>
        <v>-5.8333333333333334E-2</v>
      </c>
      <c r="K52" s="768"/>
      <c r="L52" s="281">
        <v>0</v>
      </c>
      <c r="M52" s="280"/>
      <c r="N52" s="280"/>
      <c r="O52" s="279" t="str">
        <f t="shared" si="30"/>
        <v>-</v>
      </c>
      <c r="P52" s="768"/>
      <c r="Q52" s="281">
        <v>0</v>
      </c>
      <c r="R52" s="280">
        <v>0</v>
      </c>
      <c r="S52" s="280">
        <f t="shared" si="31"/>
        <v>0</v>
      </c>
      <c r="T52" s="279" t="str">
        <f t="shared" si="32"/>
        <v>-</v>
      </c>
      <c r="U52" s="768"/>
      <c r="V52" s="281">
        <f t="shared" si="33"/>
        <v>30000</v>
      </c>
      <c r="W52" s="280">
        <f t="shared" si="34"/>
        <v>32625</v>
      </c>
      <c r="X52" s="280">
        <f t="shared" si="35"/>
        <v>-2625</v>
      </c>
      <c r="Y52" s="279">
        <f t="shared" si="36"/>
        <v>-8.7499999999999994E-2</v>
      </c>
      <c r="Z52" s="768"/>
      <c r="AA52" s="281">
        <v>60000</v>
      </c>
      <c r="AB52" s="280">
        <f t="shared" si="37"/>
        <v>27375</v>
      </c>
      <c r="AC52" s="279">
        <f t="shared" si="38"/>
        <v>0.45624999999999999</v>
      </c>
      <c r="AD52" s="767"/>
      <c r="AE52" s="277"/>
    </row>
    <row r="53" spans="1:31" s="276" customFormat="1" ht="15.75" x14ac:dyDescent="0.25">
      <c r="A53" s="270" t="s">
        <v>57</v>
      </c>
      <c r="B53" s="281">
        <v>0</v>
      </c>
      <c r="C53" s="280">
        <v>0</v>
      </c>
      <c r="D53" s="280">
        <f t="shared" si="26"/>
        <v>0</v>
      </c>
      <c r="E53" s="325" t="str">
        <f t="shared" si="27"/>
        <v>-</v>
      </c>
      <c r="F53" s="282"/>
      <c r="G53" s="281">
        <v>0</v>
      </c>
      <c r="H53" s="280">
        <v>0</v>
      </c>
      <c r="I53" s="280">
        <f t="shared" si="28"/>
        <v>0</v>
      </c>
      <c r="J53" s="325" t="str">
        <f t="shared" si="29"/>
        <v>-</v>
      </c>
      <c r="K53" s="768"/>
      <c r="L53" s="281">
        <v>0</v>
      </c>
      <c r="M53" s="280"/>
      <c r="N53" s="280"/>
      <c r="O53" s="325" t="str">
        <f t="shared" si="30"/>
        <v>-</v>
      </c>
      <c r="P53" s="768"/>
      <c r="Q53" s="281">
        <v>0</v>
      </c>
      <c r="R53" s="280">
        <v>0</v>
      </c>
      <c r="S53" s="280">
        <f t="shared" si="31"/>
        <v>0</v>
      </c>
      <c r="T53" s="325" t="str">
        <f t="shared" si="32"/>
        <v>-</v>
      </c>
      <c r="U53" s="768"/>
      <c r="V53" s="281">
        <f t="shared" si="33"/>
        <v>0</v>
      </c>
      <c r="W53" s="280">
        <f t="shared" si="34"/>
        <v>0</v>
      </c>
      <c r="X53" s="280">
        <f t="shared" si="35"/>
        <v>0</v>
      </c>
      <c r="Y53" s="325" t="str">
        <f t="shared" si="36"/>
        <v>-</v>
      </c>
      <c r="Z53" s="768"/>
      <c r="AA53" s="281">
        <v>0</v>
      </c>
      <c r="AB53" s="280">
        <f t="shared" si="37"/>
        <v>0</v>
      </c>
      <c r="AC53" s="325" t="str">
        <f t="shared" si="38"/>
        <v>-</v>
      </c>
      <c r="AD53" s="767"/>
      <c r="AE53" s="323"/>
    </row>
    <row r="54" spans="1:31" s="276" customFormat="1" ht="15.75" x14ac:dyDescent="0.25">
      <c r="A54" s="270" t="s">
        <v>58</v>
      </c>
      <c r="B54" s="281">
        <v>0</v>
      </c>
      <c r="C54" s="280">
        <v>0</v>
      </c>
      <c r="D54" s="280">
        <f t="shared" si="26"/>
        <v>0</v>
      </c>
      <c r="E54" s="325" t="str">
        <f t="shared" si="27"/>
        <v>-</v>
      </c>
      <c r="F54" s="282"/>
      <c r="G54" s="281">
        <v>0</v>
      </c>
      <c r="H54" s="280">
        <v>0</v>
      </c>
      <c r="I54" s="280">
        <f t="shared" si="28"/>
        <v>0</v>
      </c>
      <c r="J54" s="325" t="str">
        <f t="shared" si="29"/>
        <v>-</v>
      </c>
      <c r="K54" s="768"/>
      <c r="L54" s="281">
        <v>0</v>
      </c>
      <c r="M54" s="280"/>
      <c r="N54" s="280"/>
      <c r="O54" s="325" t="str">
        <f t="shared" si="30"/>
        <v>-</v>
      </c>
      <c r="P54" s="768"/>
      <c r="Q54" s="281">
        <v>0</v>
      </c>
      <c r="R54" s="280">
        <v>0</v>
      </c>
      <c r="S54" s="280">
        <f t="shared" si="31"/>
        <v>0</v>
      </c>
      <c r="T54" s="325" t="str">
        <f t="shared" si="32"/>
        <v>-</v>
      </c>
      <c r="U54" s="768"/>
      <c r="V54" s="281">
        <f t="shared" si="33"/>
        <v>0</v>
      </c>
      <c r="W54" s="280">
        <f t="shared" si="34"/>
        <v>0</v>
      </c>
      <c r="X54" s="280">
        <f t="shared" si="35"/>
        <v>0</v>
      </c>
      <c r="Y54" s="325" t="str">
        <f t="shared" si="36"/>
        <v>-</v>
      </c>
      <c r="Z54" s="768"/>
      <c r="AA54" s="281">
        <v>0</v>
      </c>
      <c r="AB54" s="280">
        <f t="shared" si="37"/>
        <v>0</v>
      </c>
      <c r="AC54" s="325" t="str">
        <f t="shared" si="38"/>
        <v>-</v>
      </c>
      <c r="AD54" s="767"/>
      <c r="AE54" s="323"/>
    </row>
    <row r="55" spans="1:31" s="276" customFormat="1" ht="15.75" x14ac:dyDescent="0.25">
      <c r="A55" s="270" t="s">
        <v>59</v>
      </c>
      <c r="B55" s="281">
        <v>1500</v>
      </c>
      <c r="C55" s="280">
        <v>1175.02</v>
      </c>
      <c r="D55" s="280">
        <f t="shared" si="26"/>
        <v>324.98</v>
      </c>
      <c r="E55" s="279">
        <f t="shared" si="27"/>
        <v>0.21665333333333334</v>
      </c>
      <c r="F55" s="282"/>
      <c r="G55" s="281">
        <v>1500</v>
      </c>
      <c r="H55" s="280">
        <v>1069.95</v>
      </c>
      <c r="I55" s="280">
        <f t="shared" si="28"/>
        <v>430.04999999999995</v>
      </c>
      <c r="J55" s="279">
        <f t="shared" si="29"/>
        <v>0.28669999999999995</v>
      </c>
      <c r="K55" s="768"/>
      <c r="L55" s="281">
        <v>0</v>
      </c>
      <c r="M55" s="280"/>
      <c r="N55" s="280"/>
      <c r="O55" s="279" t="str">
        <f t="shared" si="30"/>
        <v>-</v>
      </c>
      <c r="P55" s="768"/>
      <c r="Q55" s="281">
        <v>0</v>
      </c>
      <c r="R55" s="280">
        <v>0</v>
      </c>
      <c r="S55" s="280">
        <f t="shared" si="31"/>
        <v>0</v>
      </c>
      <c r="T55" s="279" t="str">
        <f t="shared" si="32"/>
        <v>-</v>
      </c>
      <c r="U55" s="768"/>
      <c r="V55" s="281">
        <f t="shared" si="33"/>
        <v>3000</v>
      </c>
      <c r="W55" s="280">
        <f t="shared" si="34"/>
        <v>2244.9700000000003</v>
      </c>
      <c r="X55" s="280">
        <f t="shared" si="35"/>
        <v>755.02999999999975</v>
      </c>
      <c r="Y55" s="279">
        <f t="shared" si="36"/>
        <v>0.2516766666666666</v>
      </c>
      <c r="Z55" s="768"/>
      <c r="AA55" s="281">
        <v>6000</v>
      </c>
      <c r="AB55" s="280">
        <f t="shared" si="37"/>
        <v>3755.0299999999997</v>
      </c>
      <c r="AC55" s="279">
        <f t="shared" si="38"/>
        <v>0.62583833333333327</v>
      </c>
      <c r="AD55" s="767"/>
      <c r="AE55" s="277"/>
    </row>
    <row r="56" spans="1:31" s="276" customFormat="1" ht="15.75" x14ac:dyDescent="0.25">
      <c r="A56" s="270" t="s">
        <v>60</v>
      </c>
      <c r="B56" s="281">
        <v>0</v>
      </c>
      <c r="C56" s="280">
        <v>0</v>
      </c>
      <c r="D56" s="280">
        <f t="shared" si="26"/>
        <v>0</v>
      </c>
      <c r="E56" s="279" t="str">
        <f t="shared" si="27"/>
        <v>-</v>
      </c>
      <c r="F56" s="282"/>
      <c r="G56" s="281">
        <v>0</v>
      </c>
      <c r="H56" s="280">
        <v>0</v>
      </c>
      <c r="I56" s="280">
        <f t="shared" si="28"/>
        <v>0</v>
      </c>
      <c r="J56" s="279" t="str">
        <f t="shared" si="29"/>
        <v>-</v>
      </c>
      <c r="K56" s="768"/>
      <c r="L56" s="281">
        <v>0</v>
      </c>
      <c r="M56" s="280"/>
      <c r="N56" s="280"/>
      <c r="O56" s="279" t="str">
        <f t="shared" si="30"/>
        <v>-</v>
      </c>
      <c r="P56" s="768"/>
      <c r="Q56" s="281">
        <v>0</v>
      </c>
      <c r="R56" s="280">
        <v>0</v>
      </c>
      <c r="S56" s="280">
        <f t="shared" si="31"/>
        <v>0</v>
      </c>
      <c r="T56" s="279" t="str">
        <f t="shared" si="32"/>
        <v>-</v>
      </c>
      <c r="U56" s="768"/>
      <c r="V56" s="281">
        <f t="shared" si="33"/>
        <v>0</v>
      </c>
      <c r="W56" s="280">
        <f t="shared" si="34"/>
        <v>0</v>
      </c>
      <c r="X56" s="280">
        <f t="shared" si="35"/>
        <v>0</v>
      </c>
      <c r="Y56" s="279" t="str">
        <f t="shared" si="36"/>
        <v>-</v>
      </c>
      <c r="Z56" s="768"/>
      <c r="AA56" s="281">
        <v>0</v>
      </c>
      <c r="AB56" s="280">
        <f t="shared" si="37"/>
        <v>0</v>
      </c>
      <c r="AC56" s="279" t="str">
        <f t="shared" ref="AC56:AC73" si="39">IF(ISERROR(AB56/AA56),"-",AB56/AA56)</f>
        <v>-</v>
      </c>
      <c r="AD56" s="767"/>
      <c r="AE56" s="277"/>
    </row>
    <row r="57" spans="1:31" s="276" customFormat="1" ht="15.75" x14ac:dyDescent="0.25">
      <c r="A57" s="270" t="s">
        <v>61</v>
      </c>
      <c r="B57" s="281">
        <v>2400</v>
      </c>
      <c r="C57" s="280">
        <v>0</v>
      </c>
      <c r="D57" s="280">
        <f t="shared" si="26"/>
        <v>2400</v>
      </c>
      <c r="E57" s="279">
        <f t="shared" si="27"/>
        <v>1</v>
      </c>
      <c r="F57" s="287"/>
      <c r="G57" s="281">
        <v>2400</v>
      </c>
      <c r="H57" s="280">
        <v>0</v>
      </c>
      <c r="I57" s="280">
        <f t="shared" si="28"/>
        <v>2400</v>
      </c>
      <c r="J57" s="279">
        <f t="shared" si="29"/>
        <v>1</v>
      </c>
      <c r="K57" s="786"/>
      <c r="L57" s="281">
        <v>0</v>
      </c>
      <c r="M57" s="280"/>
      <c r="N57" s="280"/>
      <c r="O57" s="279" t="str">
        <f t="shared" si="30"/>
        <v>-</v>
      </c>
      <c r="P57" s="786"/>
      <c r="Q57" s="281">
        <v>0</v>
      </c>
      <c r="R57" s="280">
        <v>0</v>
      </c>
      <c r="S57" s="280">
        <f t="shared" si="31"/>
        <v>0</v>
      </c>
      <c r="T57" s="279" t="str">
        <f t="shared" si="32"/>
        <v>-</v>
      </c>
      <c r="U57" s="786"/>
      <c r="V57" s="281">
        <f t="shared" si="33"/>
        <v>4800</v>
      </c>
      <c r="W57" s="280">
        <f t="shared" si="34"/>
        <v>0</v>
      </c>
      <c r="X57" s="280">
        <f t="shared" si="35"/>
        <v>4800</v>
      </c>
      <c r="Y57" s="279">
        <f t="shared" si="36"/>
        <v>1</v>
      </c>
      <c r="Z57" s="786"/>
      <c r="AA57" s="281">
        <v>9600</v>
      </c>
      <c r="AB57" s="280">
        <f t="shared" si="37"/>
        <v>9600</v>
      </c>
      <c r="AC57" s="279">
        <f t="shared" si="39"/>
        <v>1</v>
      </c>
      <c r="AD57" s="778"/>
      <c r="AE57" s="277"/>
    </row>
    <row r="58" spans="1:31" s="276" customFormat="1" ht="15.75" x14ac:dyDescent="0.25">
      <c r="A58" s="270" t="s">
        <v>62</v>
      </c>
      <c r="B58" s="281">
        <v>0</v>
      </c>
      <c r="C58" s="280">
        <v>0</v>
      </c>
      <c r="D58" s="280">
        <f t="shared" si="26"/>
        <v>0</v>
      </c>
      <c r="E58" s="279" t="str">
        <f t="shared" si="27"/>
        <v>-</v>
      </c>
      <c r="F58" s="287"/>
      <c r="G58" s="281">
        <v>0</v>
      </c>
      <c r="H58" s="280">
        <v>0</v>
      </c>
      <c r="I58" s="280">
        <f t="shared" si="28"/>
        <v>0</v>
      </c>
      <c r="J58" s="279" t="str">
        <f t="shared" si="29"/>
        <v>-</v>
      </c>
      <c r="K58" s="786"/>
      <c r="L58" s="281">
        <v>0</v>
      </c>
      <c r="M58" s="280"/>
      <c r="N58" s="280"/>
      <c r="O58" s="279" t="str">
        <f t="shared" si="30"/>
        <v>-</v>
      </c>
      <c r="P58" s="786"/>
      <c r="Q58" s="281">
        <v>0</v>
      </c>
      <c r="R58" s="280">
        <v>0</v>
      </c>
      <c r="S58" s="280">
        <f t="shared" si="31"/>
        <v>0</v>
      </c>
      <c r="T58" s="279" t="str">
        <f t="shared" si="32"/>
        <v>-</v>
      </c>
      <c r="U58" s="786"/>
      <c r="V58" s="281">
        <f t="shared" si="33"/>
        <v>0</v>
      </c>
      <c r="W58" s="280">
        <f t="shared" si="34"/>
        <v>0</v>
      </c>
      <c r="X58" s="280">
        <f t="shared" si="35"/>
        <v>0</v>
      </c>
      <c r="Y58" s="279" t="str">
        <f t="shared" si="36"/>
        <v>-</v>
      </c>
      <c r="Z58" s="786"/>
      <c r="AA58" s="281">
        <v>0</v>
      </c>
      <c r="AB58" s="280">
        <f t="shared" si="37"/>
        <v>0</v>
      </c>
      <c r="AC58" s="279" t="str">
        <f t="shared" si="39"/>
        <v>-</v>
      </c>
      <c r="AD58" s="778"/>
      <c r="AE58" s="277"/>
    </row>
    <row r="59" spans="1:31" s="276" customFormat="1" ht="15.75" x14ac:dyDescent="0.25">
      <c r="A59" s="270" t="s">
        <v>63</v>
      </c>
      <c r="B59" s="281">
        <v>6282.3</v>
      </c>
      <c r="C59" s="280">
        <v>3282.28</v>
      </c>
      <c r="D59" s="280">
        <f t="shared" si="26"/>
        <v>3000.02</v>
      </c>
      <c r="E59" s="279">
        <f t="shared" si="27"/>
        <v>0.47753529758209573</v>
      </c>
      <c r="F59" s="287"/>
      <c r="G59" s="281">
        <v>6282.3</v>
      </c>
      <c r="H59" s="280">
        <v>14464.89</v>
      </c>
      <c r="I59" s="280">
        <f t="shared" si="28"/>
        <v>-8182.5899999999992</v>
      </c>
      <c r="J59" s="279">
        <f t="shared" si="29"/>
        <v>-1.3024831669929802</v>
      </c>
      <c r="K59" s="786"/>
      <c r="L59" s="281">
        <v>0</v>
      </c>
      <c r="M59" s="280"/>
      <c r="N59" s="280"/>
      <c r="O59" s="279" t="str">
        <f t="shared" si="30"/>
        <v>-</v>
      </c>
      <c r="P59" s="786"/>
      <c r="Q59" s="281">
        <v>0</v>
      </c>
      <c r="R59" s="280">
        <v>0</v>
      </c>
      <c r="S59" s="280">
        <f t="shared" si="31"/>
        <v>0</v>
      </c>
      <c r="T59" s="279" t="str">
        <f t="shared" si="32"/>
        <v>-</v>
      </c>
      <c r="U59" s="786"/>
      <c r="V59" s="281">
        <f t="shared" si="33"/>
        <v>12564.6</v>
      </c>
      <c r="W59" s="280">
        <f t="shared" si="34"/>
        <v>17747.169999999998</v>
      </c>
      <c r="X59" s="280">
        <f t="shared" si="35"/>
        <v>-5182.5699999999979</v>
      </c>
      <c r="Y59" s="279">
        <f t="shared" si="36"/>
        <v>-0.41247393470544208</v>
      </c>
      <c r="Z59" s="786"/>
      <c r="AA59" s="281">
        <v>25129.200000000001</v>
      </c>
      <c r="AB59" s="280">
        <f t="shared" si="37"/>
        <v>7382.0300000000025</v>
      </c>
      <c r="AC59" s="279">
        <f t="shared" si="39"/>
        <v>0.29376303264727893</v>
      </c>
      <c r="AD59" s="778"/>
      <c r="AE59" s="277"/>
    </row>
    <row r="60" spans="1:31" s="276" customFormat="1" ht="15.75" x14ac:dyDescent="0.25">
      <c r="A60" s="270" t="s">
        <v>64</v>
      </c>
      <c r="B60" s="281">
        <v>8850</v>
      </c>
      <c r="C60" s="280">
        <f>1409.56+1650.57+4420.96+100</f>
        <v>7581.09</v>
      </c>
      <c r="D60" s="280">
        <f t="shared" si="26"/>
        <v>1268.9099999999999</v>
      </c>
      <c r="E60" s="279">
        <f t="shared" si="27"/>
        <v>0.14337966101694913</v>
      </c>
      <c r="F60" s="287"/>
      <c r="G60" s="281">
        <v>8850</v>
      </c>
      <c r="H60" s="280">
        <f>4485.67+1720.44</f>
        <v>6206.1100000000006</v>
      </c>
      <c r="I60" s="280">
        <f t="shared" si="28"/>
        <v>2643.8899999999994</v>
      </c>
      <c r="J60" s="279">
        <f t="shared" si="29"/>
        <v>0.2987446327683615</v>
      </c>
      <c r="K60" s="786"/>
      <c r="L60" s="281">
        <v>0</v>
      </c>
      <c r="M60" s="280"/>
      <c r="N60" s="280"/>
      <c r="O60" s="279" t="str">
        <f t="shared" si="30"/>
        <v>-</v>
      </c>
      <c r="P60" s="786"/>
      <c r="Q60" s="281">
        <v>0</v>
      </c>
      <c r="R60" s="280">
        <v>0</v>
      </c>
      <c r="S60" s="280">
        <f t="shared" si="31"/>
        <v>0</v>
      </c>
      <c r="T60" s="279" t="str">
        <f t="shared" si="32"/>
        <v>-</v>
      </c>
      <c r="U60" s="786"/>
      <c r="V60" s="281">
        <f t="shared" si="33"/>
        <v>17700</v>
      </c>
      <c r="W60" s="280">
        <f t="shared" si="34"/>
        <v>13787.2</v>
      </c>
      <c r="X60" s="280">
        <f t="shared" si="35"/>
        <v>3912.7999999999993</v>
      </c>
      <c r="Y60" s="279">
        <f t="shared" si="36"/>
        <v>0.22106214689265533</v>
      </c>
      <c r="Z60" s="786"/>
      <c r="AA60" s="281">
        <v>35400</v>
      </c>
      <c r="AB60" s="280">
        <f t="shared" si="37"/>
        <v>21612.799999999999</v>
      </c>
      <c r="AC60" s="279">
        <f t="shared" si="39"/>
        <v>0.61053107344632762</v>
      </c>
      <c r="AD60" s="778"/>
      <c r="AE60" s="277"/>
    </row>
    <row r="61" spans="1:31" s="276" customFormat="1" ht="15.75" x14ac:dyDescent="0.25">
      <c r="A61" s="270" t="s">
        <v>65</v>
      </c>
      <c r="B61" s="281">
        <f>1477069+25500</f>
        <v>1502569</v>
      </c>
      <c r="C61" s="280">
        <f>779.66+1452178.16+22594.44</f>
        <v>1475552.2599999998</v>
      </c>
      <c r="D61" s="280">
        <f t="shared" si="26"/>
        <v>27016.740000000224</v>
      </c>
      <c r="E61" s="279">
        <f t="shared" si="27"/>
        <v>1.7980365627136074E-2</v>
      </c>
      <c r="F61" s="282"/>
      <c r="G61" s="281">
        <f>1477069+25500</f>
        <v>1502569</v>
      </c>
      <c r="H61" s="280">
        <f>1403.29+1461432.64+18554.64</f>
        <v>1481390.5699999998</v>
      </c>
      <c r="I61" s="280">
        <f t="shared" si="28"/>
        <v>21178.430000000168</v>
      </c>
      <c r="J61" s="279">
        <f t="shared" si="29"/>
        <v>1.4094813615880646E-2</v>
      </c>
      <c r="K61" s="768"/>
      <c r="L61" s="281">
        <v>0</v>
      </c>
      <c r="M61" s="280"/>
      <c r="N61" s="280"/>
      <c r="O61" s="279" t="str">
        <f t="shared" si="30"/>
        <v>-</v>
      </c>
      <c r="P61" s="768"/>
      <c r="Q61" s="281">
        <v>0</v>
      </c>
      <c r="R61" s="280">
        <v>0</v>
      </c>
      <c r="S61" s="280">
        <f t="shared" si="31"/>
        <v>0</v>
      </c>
      <c r="T61" s="279" t="str">
        <f t="shared" si="32"/>
        <v>-</v>
      </c>
      <c r="U61" s="768"/>
      <c r="V61" s="281">
        <f t="shared" si="33"/>
        <v>3005138</v>
      </c>
      <c r="W61" s="280">
        <f t="shared" si="34"/>
        <v>2956942.8299999996</v>
      </c>
      <c r="X61" s="280">
        <f t="shared" si="35"/>
        <v>48195.170000000391</v>
      </c>
      <c r="Y61" s="279">
        <f t="shared" ref="Y61:Y73" si="40">IF(ISERROR(X61/V61),"-",X61/V61)</f>
        <v>1.603758962150836E-2</v>
      </c>
      <c r="Z61" s="768"/>
      <c r="AA61" s="281">
        <f>48000+54000+5908276</f>
        <v>6010276</v>
      </c>
      <c r="AB61" s="280">
        <f t="shared" si="37"/>
        <v>3053333.1700000004</v>
      </c>
      <c r="AC61" s="279">
        <f t="shared" si="39"/>
        <v>0.50801879481075418</v>
      </c>
      <c r="AD61" s="767"/>
      <c r="AE61" s="277"/>
    </row>
    <row r="62" spans="1:31" s="276" customFormat="1" ht="15.75" x14ac:dyDescent="0.25">
      <c r="A62" s="145" t="s">
        <v>66</v>
      </c>
      <c r="B62" s="281">
        <v>0</v>
      </c>
      <c r="C62" s="280">
        <v>0</v>
      </c>
      <c r="D62" s="280">
        <f t="shared" si="26"/>
        <v>0</v>
      </c>
      <c r="E62" s="279" t="str">
        <f t="shared" si="27"/>
        <v>-</v>
      </c>
      <c r="F62" s="287"/>
      <c r="G62" s="281">
        <v>0</v>
      </c>
      <c r="H62" s="280">
        <v>0</v>
      </c>
      <c r="I62" s="280">
        <f t="shared" si="28"/>
        <v>0</v>
      </c>
      <c r="J62" s="279" t="str">
        <f t="shared" si="29"/>
        <v>-</v>
      </c>
      <c r="K62" s="786"/>
      <c r="L62" s="281">
        <v>0</v>
      </c>
      <c r="M62" s="280"/>
      <c r="N62" s="280"/>
      <c r="O62" s="279" t="str">
        <f t="shared" si="30"/>
        <v>-</v>
      </c>
      <c r="P62" s="786"/>
      <c r="Q62" s="281">
        <v>0</v>
      </c>
      <c r="R62" s="280">
        <v>0</v>
      </c>
      <c r="S62" s="280">
        <f t="shared" si="31"/>
        <v>0</v>
      </c>
      <c r="T62" s="279" t="str">
        <f t="shared" si="32"/>
        <v>-</v>
      </c>
      <c r="U62" s="786"/>
      <c r="V62" s="281">
        <f t="shared" si="33"/>
        <v>0</v>
      </c>
      <c r="W62" s="280">
        <f t="shared" si="34"/>
        <v>0</v>
      </c>
      <c r="X62" s="280">
        <f t="shared" si="35"/>
        <v>0</v>
      </c>
      <c r="Y62" s="279" t="str">
        <f t="shared" si="40"/>
        <v>-</v>
      </c>
      <c r="Z62" s="786"/>
      <c r="AA62" s="281">
        <v>0</v>
      </c>
      <c r="AB62" s="280">
        <f t="shared" si="37"/>
        <v>0</v>
      </c>
      <c r="AC62" s="279" t="str">
        <f t="shared" si="39"/>
        <v>-</v>
      </c>
      <c r="AD62" s="767"/>
      <c r="AE62" s="323"/>
    </row>
    <row r="63" spans="1:31" s="276" customFormat="1" ht="15.75" x14ac:dyDescent="0.25">
      <c r="A63" s="145" t="s">
        <v>67</v>
      </c>
      <c r="B63" s="281">
        <v>0</v>
      </c>
      <c r="C63" s="280">
        <v>0</v>
      </c>
      <c r="D63" s="280">
        <f t="shared" si="26"/>
        <v>0</v>
      </c>
      <c r="E63" s="279" t="str">
        <f t="shared" si="27"/>
        <v>-</v>
      </c>
      <c r="F63" s="287"/>
      <c r="G63" s="281">
        <v>0</v>
      </c>
      <c r="H63" s="280">
        <v>0</v>
      </c>
      <c r="I63" s="280">
        <f t="shared" si="28"/>
        <v>0</v>
      </c>
      <c r="J63" s="279" t="str">
        <f t="shared" si="29"/>
        <v>-</v>
      </c>
      <c r="K63" s="786"/>
      <c r="L63" s="281">
        <v>0</v>
      </c>
      <c r="M63" s="280"/>
      <c r="N63" s="280"/>
      <c r="O63" s="279" t="str">
        <f t="shared" si="30"/>
        <v>-</v>
      </c>
      <c r="P63" s="786"/>
      <c r="Q63" s="281">
        <v>0</v>
      </c>
      <c r="R63" s="280">
        <v>0</v>
      </c>
      <c r="S63" s="280">
        <f t="shared" si="31"/>
        <v>0</v>
      </c>
      <c r="T63" s="279" t="str">
        <f t="shared" si="32"/>
        <v>-</v>
      </c>
      <c r="U63" s="786"/>
      <c r="V63" s="281">
        <f t="shared" si="33"/>
        <v>0</v>
      </c>
      <c r="W63" s="280">
        <f t="shared" si="34"/>
        <v>0</v>
      </c>
      <c r="X63" s="280">
        <f t="shared" si="35"/>
        <v>0</v>
      </c>
      <c r="Y63" s="279" t="str">
        <f t="shared" si="40"/>
        <v>-</v>
      </c>
      <c r="Z63" s="786"/>
      <c r="AA63" s="281">
        <v>0</v>
      </c>
      <c r="AB63" s="280">
        <f t="shared" si="37"/>
        <v>0</v>
      </c>
      <c r="AC63" s="279" t="str">
        <f t="shared" si="39"/>
        <v>-</v>
      </c>
      <c r="AD63" s="767"/>
      <c r="AE63" s="323"/>
    </row>
    <row r="64" spans="1:31" s="276" customFormat="1" ht="15.75" x14ac:dyDescent="0.25">
      <c r="A64" s="270" t="s">
        <v>68</v>
      </c>
      <c r="B64" s="281">
        <v>21250</v>
      </c>
      <c r="C64" s="280">
        <v>68428.13</v>
      </c>
      <c r="D64" s="280">
        <f t="shared" si="26"/>
        <v>-47178.130000000005</v>
      </c>
      <c r="E64" s="279">
        <f t="shared" si="27"/>
        <v>-2.2201472941176474</v>
      </c>
      <c r="F64" s="282"/>
      <c r="G64" s="281">
        <v>21250</v>
      </c>
      <c r="H64" s="280">
        <v>25537.9</v>
      </c>
      <c r="I64" s="280">
        <f t="shared" si="28"/>
        <v>-4287.9000000000015</v>
      </c>
      <c r="J64" s="279">
        <f t="shared" si="29"/>
        <v>-0.20178352941176478</v>
      </c>
      <c r="K64" s="768"/>
      <c r="L64" s="281">
        <v>0</v>
      </c>
      <c r="M64" s="280"/>
      <c r="N64" s="280"/>
      <c r="O64" s="279" t="str">
        <f t="shared" si="30"/>
        <v>-</v>
      </c>
      <c r="P64" s="768"/>
      <c r="Q64" s="281">
        <v>0</v>
      </c>
      <c r="R64" s="280">
        <v>0</v>
      </c>
      <c r="S64" s="280">
        <f t="shared" si="31"/>
        <v>0</v>
      </c>
      <c r="T64" s="279" t="str">
        <f t="shared" si="32"/>
        <v>-</v>
      </c>
      <c r="U64" s="768"/>
      <c r="V64" s="281">
        <f t="shared" si="33"/>
        <v>42500</v>
      </c>
      <c r="W64" s="280">
        <f t="shared" si="34"/>
        <v>93966.03</v>
      </c>
      <c r="X64" s="280">
        <f t="shared" si="35"/>
        <v>-51466.03</v>
      </c>
      <c r="Y64" s="279">
        <f t="shared" si="40"/>
        <v>-1.210965411764706</v>
      </c>
      <c r="Z64" s="768"/>
      <c r="AA64" s="281">
        <v>85000</v>
      </c>
      <c r="AB64" s="280">
        <f t="shared" si="37"/>
        <v>-8966.0299999999988</v>
      </c>
      <c r="AC64" s="279">
        <f t="shared" si="39"/>
        <v>-0.10548270588235292</v>
      </c>
      <c r="AD64" s="767"/>
      <c r="AE64" s="277"/>
    </row>
    <row r="65" spans="1:31" s="276" customFormat="1" ht="15.75" x14ac:dyDescent="0.25">
      <c r="A65" s="270" t="s">
        <v>69</v>
      </c>
      <c r="B65" s="281">
        <v>2500</v>
      </c>
      <c r="C65" s="280">
        <f>745.16-100</f>
        <v>645.16</v>
      </c>
      <c r="D65" s="280">
        <f t="shared" si="26"/>
        <v>1854.8400000000001</v>
      </c>
      <c r="E65" s="279">
        <f t="shared" si="27"/>
        <v>0.74193600000000004</v>
      </c>
      <c r="F65" s="287"/>
      <c r="G65" s="281">
        <v>2500</v>
      </c>
      <c r="H65" s="280">
        <v>1075.28</v>
      </c>
      <c r="I65" s="280">
        <f t="shared" si="28"/>
        <v>1424.72</v>
      </c>
      <c r="J65" s="279">
        <f t="shared" si="29"/>
        <v>0.56988800000000006</v>
      </c>
      <c r="K65" s="786"/>
      <c r="L65" s="281">
        <v>0</v>
      </c>
      <c r="M65" s="280"/>
      <c r="N65" s="280"/>
      <c r="O65" s="325" t="str">
        <f t="shared" si="30"/>
        <v>-</v>
      </c>
      <c r="P65" s="786"/>
      <c r="Q65" s="281">
        <v>0</v>
      </c>
      <c r="R65" s="280">
        <v>0</v>
      </c>
      <c r="S65" s="280">
        <f t="shared" si="31"/>
        <v>0</v>
      </c>
      <c r="T65" s="325" t="str">
        <f t="shared" si="32"/>
        <v>-</v>
      </c>
      <c r="U65" s="786"/>
      <c r="V65" s="281">
        <f t="shared" si="33"/>
        <v>5000</v>
      </c>
      <c r="W65" s="280">
        <f t="shared" si="34"/>
        <v>1720.44</v>
      </c>
      <c r="X65" s="280">
        <f t="shared" si="35"/>
        <v>3279.56</v>
      </c>
      <c r="Y65" s="279">
        <f t="shared" si="40"/>
        <v>0.65591199999999994</v>
      </c>
      <c r="Z65" s="786"/>
      <c r="AA65" s="281">
        <v>10000</v>
      </c>
      <c r="AB65" s="280">
        <f t="shared" si="37"/>
        <v>8279.56</v>
      </c>
      <c r="AC65" s="279">
        <f t="shared" si="39"/>
        <v>0.82795599999999991</v>
      </c>
      <c r="AD65" s="778"/>
      <c r="AE65" s="323"/>
    </row>
    <row r="66" spans="1:31" s="276" customFormat="1" ht="15.75" x14ac:dyDescent="0.25">
      <c r="A66" s="145" t="s">
        <v>70</v>
      </c>
      <c r="B66" s="281">
        <v>0</v>
      </c>
      <c r="C66" s="280">
        <v>0</v>
      </c>
      <c r="D66" s="280">
        <f t="shared" si="26"/>
        <v>0</v>
      </c>
      <c r="E66" s="279" t="str">
        <f t="shared" si="27"/>
        <v>-</v>
      </c>
      <c r="F66" s="287"/>
      <c r="G66" s="281">
        <v>0</v>
      </c>
      <c r="H66" s="280">
        <v>0</v>
      </c>
      <c r="I66" s="280">
        <f t="shared" si="28"/>
        <v>0</v>
      </c>
      <c r="J66" s="279" t="str">
        <f t="shared" si="29"/>
        <v>-</v>
      </c>
      <c r="K66" s="786"/>
      <c r="L66" s="281">
        <v>0</v>
      </c>
      <c r="M66" s="280"/>
      <c r="N66" s="280"/>
      <c r="O66" s="279" t="str">
        <f t="shared" si="30"/>
        <v>-</v>
      </c>
      <c r="P66" s="786"/>
      <c r="Q66" s="281">
        <v>0</v>
      </c>
      <c r="R66" s="280">
        <v>0</v>
      </c>
      <c r="S66" s="280">
        <f t="shared" si="31"/>
        <v>0</v>
      </c>
      <c r="T66" s="279" t="str">
        <f t="shared" si="32"/>
        <v>-</v>
      </c>
      <c r="U66" s="786"/>
      <c r="V66" s="281">
        <f t="shared" si="33"/>
        <v>0</v>
      </c>
      <c r="W66" s="280">
        <f t="shared" si="34"/>
        <v>0</v>
      </c>
      <c r="X66" s="280">
        <f t="shared" si="35"/>
        <v>0</v>
      </c>
      <c r="Y66" s="279" t="str">
        <f t="shared" si="40"/>
        <v>-</v>
      </c>
      <c r="Z66" s="786"/>
      <c r="AA66" s="281">
        <v>0</v>
      </c>
      <c r="AB66" s="280">
        <f t="shared" si="37"/>
        <v>0</v>
      </c>
      <c r="AC66" s="279" t="str">
        <f t="shared" si="39"/>
        <v>-</v>
      </c>
      <c r="AD66" s="767"/>
      <c r="AE66" s="323"/>
    </row>
    <row r="67" spans="1:31" s="276" customFormat="1" ht="15.75" x14ac:dyDescent="0.25">
      <c r="A67" s="145" t="s">
        <v>71</v>
      </c>
      <c r="B67" s="281">
        <v>0</v>
      </c>
      <c r="C67" s="280">
        <v>0</v>
      </c>
      <c r="D67" s="280">
        <f t="shared" si="26"/>
        <v>0</v>
      </c>
      <c r="E67" s="279" t="str">
        <f t="shared" si="27"/>
        <v>-</v>
      </c>
      <c r="F67" s="287"/>
      <c r="G67" s="281">
        <v>0</v>
      </c>
      <c r="H67" s="280">
        <v>0</v>
      </c>
      <c r="I67" s="280">
        <f t="shared" si="28"/>
        <v>0</v>
      </c>
      <c r="J67" s="279" t="str">
        <f t="shared" si="29"/>
        <v>-</v>
      </c>
      <c r="K67" s="786"/>
      <c r="L67" s="281">
        <v>0</v>
      </c>
      <c r="M67" s="280"/>
      <c r="N67" s="280"/>
      <c r="O67" s="279" t="str">
        <f t="shared" si="30"/>
        <v>-</v>
      </c>
      <c r="P67" s="786"/>
      <c r="Q67" s="281">
        <v>0</v>
      </c>
      <c r="R67" s="280">
        <v>0</v>
      </c>
      <c r="S67" s="280">
        <f t="shared" si="31"/>
        <v>0</v>
      </c>
      <c r="T67" s="279" t="str">
        <f t="shared" si="32"/>
        <v>-</v>
      </c>
      <c r="U67" s="786"/>
      <c r="V67" s="281">
        <f t="shared" si="33"/>
        <v>0</v>
      </c>
      <c r="W67" s="280">
        <f t="shared" si="34"/>
        <v>0</v>
      </c>
      <c r="X67" s="280">
        <f t="shared" si="35"/>
        <v>0</v>
      </c>
      <c r="Y67" s="279" t="str">
        <f t="shared" si="40"/>
        <v>-</v>
      </c>
      <c r="Z67" s="786"/>
      <c r="AA67" s="281">
        <v>0</v>
      </c>
      <c r="AB67" s="280">
        <f t="shared" si="37"/>
        <v>0</v>
      </c>
      <c r="AC67" s="279" t="str">
        <f t="shared" si="39"/>
        <v>-</v>
      </c>
      <c r="AD67" s="767"/>
      <c r="AE67" s="323"/>
    </row>
    <row r="68" spans="1:31" s="276" customFormat="1" ht="15.75" x14ac:dyDescent="0.25">
      <c r="A68" s="270" t="s">
        <v>72</v>
      </c>
      <c r="B68" s="281">
        <v>3750</v>
      </c>
      <c r="C68" s="280">
        <f>1102.16</f>
        <v>1102.1600000000001</v>
      </c>
      <c r="D68" s="280">
        <f t="shared" si="26"/>
        <v>2647.84</v>
      </c>
      <c r="E68" s="279">
        <f t="shared" si="27"/>
        <v>0.70609066666666676</v>
      </c>
      <c r="F68" s="282"/>
      <c r="G68" s="281">
        <v>3750</v>
      </c>
      <c r="H68" s="280">
        <v>14489.4</v>
      </c>
      <c r="I68" s="280">
        <f t="shared" si="28"/>
        <v>-10739.4</v>
      </c>
      <c r="J68" s="279">
        <f t="shared" si="29"/>
        <v>-2.8638399999999997</v>
      </c>
      <c r="K68" s="768"/>
      <c r="L68" s="281">
        <v>0</v>
      </c>
      <c r="M68" s="280"/>
      <c r="N68" s="280"/>
      <c r="O68" s="325" t="str">
        <f t="shared" si="30"/>
        <v>-</v>
      </c>
      <c r="P68" s="768"/>
      <c r="Q68" s="281">
        <v>0</v>
      </c>
      <c r="R68" s="280">
        <v>0</v>
      </c>
      <c r="S68" s="280">
        <f t="shared" si="31"/>
        <v>0</v>
      </c>
      <c r="T68" s="325" t="str">
        <f t="shared" si="32"/>
        <v>-</v>
      </c>
      <c r="U68" s="768"/>
      <c r="V68" s="281">
        <f t="shared" si="33"/>
        <v>7500</v>
      </c>
      <c r="W68" s="280">
        <f t="shared" si="34"/>
        <v>15591.56</v>
      </c>
      <c r="X68" s="280">
        <f t="shared" si="35"/>
        <v>-8091.5599999999995</v>
      </c>
      <c r="Y68" s="279">
        <f t="shared" si="40"/>
        <v>-1.0788746666666666</v>
      </c>
      <c r="Z68" s="768"/>
      <c r="AA68" s="281">
        <v>15000</v>
      </c>
      <c r="AB68" s="280">
        <f t="shared" si="37"/>
        <v>-591.55999999999949</v>
      </c>
      <c r="AC68" s="279">
        <f t="shared" si="39"/>
        <v>-3.9437333333333296E-2</v>
      </c>
      <c r="AD68" s="767"/>
      <c r="AE68" s="323"/>
    </row>
    <row r="69" spans="1:31" s="276" customFormat="1" ht="15.75" x14ac:dyDescent="0.25">
      <c r="A69" s="270" t="s">
        <v>73</v>
      </c>
      <c r="B69" s="281">
        <v>0</v>
      </c>
      <c r="C69" s="280">
        <v>0</v>
      </c>
      <c r="D69" s="280">
        <f t="shared" si="26"/>
        <v>0</v>
      </c>
      <c r="E69" s="279" t="str">
        <f t="shared" si="27"/>
        <v>-</v>
      </c>
      <c r="F69" s="282"/>
      <c r="G69" s="281">
        <v>0</v>
      </c>
      <c r="H69" s="280">
        <v>0</v>
      </c>
      <c r="I69" s="280">
        <f t="shared" si="28"/>
        <v>0</v>
      </c>
      <c r="J69" s="279" t="str">
        <f t="shared" si="29"/>
        <v>-</v>
      </c>
      <c r="K69" s="768"/>
      <c r="L69" s="281">
        <v>0</v>
      </c>
      <c r="M69" s="280"/>
      <c r="N69" s="280"/>
      <c r="O69" s="279" t="str">
        <f t="shared" si="30"/>
        <v>-</v>
      </c>
      <c r="P69" s="768"/>
      <c r="Q69" s="281">
        <v>0</v>
      </c>
      <c r="R69" s="280">
        <v>0</v>
      </c>
      <c r="S69" s="280">
        <f t="shared" si="31"/>
        <v>0</v>
      </c>
      <c r="T69" s="279" t="str">
        <f t="shared" si="32"/>
        <v>-</v>
      </c>
      <c r="U69" s="768"/>
      <c r="V69" s="281">
        <f t="shared" si="33"/>
        <v>0</v>
      </c>
      <c r="W69" s="280">
        <f t="shared" si="34"/>
        <v>0</v>
      </c>
      <c r="X69" s="280">
        <f t="shared" si="35"/>
        <v>0</v>
      </c>
      <c r="Y69" s="279" t="str">
        <f t="shared" si="40"/>
        <v>-</v>
      </c>
      <c r="Z69" s="768"/>
      <c r="AA69" s="281">
        <v>0</v>
      </c>
      <c r="AB69" s="280">
        <f t="shared" si="37"/>
        <v>0</v>
      </c>
      <c r="AC69" s="279" t="str">
        <f t="shared" si="39"/>
        <v>-</v>
      </c>
      <c r="AD69" s="767"/>
      <c r="AE69" s="277"/>
    </row>
    <row r="70" spans="1:31" s="276" customFormat="1" ht="15.75" x14ac:dyDescent="0.25">
      <c r="A70" s="145" t="s">
        <v>74</v>
      </c>
      <c r="B70" s="281">
        <v>0</v>
      </c>
      <c r="C70" s="280">
        <v>0</v>
      </c>
      <c r="D70" s="280">
        <f t="shared" si="26"/>
        <v>0</v>
      </c>
      <c r="E70" s="279" t="str">
        <f t="shared" si="27"/>
        <v>-</v>
      </c>
      <c r="F70" s="282"/>
      <c r="G70" s="281">
        <v>0</v>
      </c>
      <c r="H70" s="280">
        <v>0</v>
      </c>
      <c r="I70" s="280">
        <f t="shared" si="28"/>
        <v>0</v>
      </c>
      <c r="J70" s="279" t="str">
        <f t="shared" si="29"/>
        <v>-</v>
      </c>
      <c r="K70" s="768"/>
      <c r="L70" s="281">
        <v>0</v>
      </c>
      <c r="M70" s="280"/>
      <c r="N70" s="280"/>
      <c r="O70" s="279" t="str">
        <f t="shared" si="30"/>
        <v>-</v>
      </c>
      <c r="P70" s="768"/>
      <c r="Q70" s="281">
        <v>0</v>
      </c>
      <c r="R70" s="280">
        <v>0</v>
      </c>
      <c r="S70" s="280">
        <f t="shared" si="31"/>
        <v>0</v>
      </c>
      <c r="T70" s="279" t="str">
        <f t="shared" si="32"/>
        <v>-</v>
      </c>
      <c r="U70" s="768"/>
      <c r="V70" s="281">
        <f t="shared" si="33"/>
        <v>0</v>
      </c>
      <c r="W70" s="280">
        <f t="shared" si="34"/>
        <v>0</v>
      </c>
      <c r="X70" s="280">
        <f t="shared" si="35"/>
        <v>0</v>
      </c>
      <c r="Y70" s="279" t="str">
        <f t="shared" si="40"/>
        <v>-</v>
      </c>
      <c r="Z70" s="768"/>
      <c r="AA70" s="281">
        <v>0</v>
      </c>
      <c r="AB70" s="280">
        <f t="shared" si="37"/>
        <v>0</v>
      </c>
      <c r="AC70" s="279" t="str">
        <f t="shared" si="39"/>
        <v>-</v>
      </c>
      <c r="AD70" s="767"/>
      <c r="AE70" s="277"/>
    </row>
    <row r="71" spans="1:31" s="276" customFormat="1" ht="15.75" x14ac:dyDescent="0.25">
      <c r="A71" s="270" t="s">
        <v>75</v>
      </c>
      <c r="B71" s="281">
        <v>18441</v>
      </c>
      <c r="C71" s="280">
        <v>5010.8</v>
      </c>
      <c r="D71" s="280">
        <f t="shared" si="26"/>
        <v>13430.2</v>
      </c>
      <c r="E71" s="279">
        <f t="shared" si="27"/>
        <v>0.72827937747410665</v>
      </c>
      <c r="F71" s="287"/>
      <c r="G71" s="281">
        <v>18441</v>
      </c>
      <c r="H71" s="280">
        <v>1000</v>
      </c>
      <c r="I71" s="280">
        <f t="shared" si="28"/>
        <v>17441</v>
      </c>
      <c r="J71" s="279">
        <f t="shared" si="29"/>
        <v>0.9457730058022884</v>
      </c>
      <c r="K71" s="786"/>
      <c r="L71" s="281">
        <v>0</v>
      </c>
      <c r="M71" s="280"/>
      <c r="N71" s="280"/>
      <c r="O71" s="279" t="str">
        <f t="shared" si="30"/>
        <v>-</v>
      </c>
      <c r="P71" s="786"/>
      <c r="Q71" s="281">
        <v>0</v>
      </c>
      <c r="R71" s="280">
        <v>0</v>
      </c>
      <c r="S71" s="280">
        <f t="shared" si="31"/>
        <v>0</v>
      </c>
      <c r="T71" s="279" t="str">
        <f t="shared" si="32"/>
        <v>-</v>
      </c>
      <c r="U71" s="786"/>
      <c r="V71" s="281">
        <f t="shared" si="33"/>
        <v>36882</v>
      </c>
      <c r="W71" s="280">
        <f t="shared" si="34"/>
        <v>6010.8</v>
      </c>
      <c r="X71" s="280">
        <f t="shared" si="35"/>
        <v>30871.200000000001</v>
      </c>
      <c r="Y71" s="279">
        <f t="shared" si="40"/>
        <v>0.83702619163819747</v>
      </c>
      <c r="Z71" s="786"/>
      <c r="AA71" s="281">
        <v>73764</v>
      </c>
      <c r="AB71" s="280">
        <f t="shared" si="37"/>
        <v>67753.2</v>
      </c>
      <c r="AC71" s="279">
        <f t="shared" si="39"/>
        <v>0.91851309581909868</v>
      </c>
      <c r="AD71" s="778"/>
      <c r="AE71" s="277"/>
    </row>
    <row r="72" spans="1:31" s="276" customFormat="1" ht="15.75" x14ac:dyDescent="0.25">
      <c r="A72" s="270" t="s">
        <v>76</v>
      </c>
      <c r="B72" s="281">
        <v>3750</v>
      </c>
      <c r="C72" s="280">
        <v>0</v>
      </c>
      <c r="D72" s="280">
        <f t="shared" si="26"/>
        <v>3750</v>
      </c>
      <c r="E72" s="279">
        <f t="shared" si="27"/>
        <v>1</v>
      </c>
      <c r="F72" s="282"/>
      <c r="G72" s="281">
        <v>3750</v>
      </c>
      <c r="H72" s="280">
        <v>0</v>
      </c>
      <c r="I72" s="280">
        <f t="shared" si="28"/>
        <v>3750</v>
      </c>
      <c r="J72" s="279">
        <f t="shared" si="29"/>
        <v>1</v>
      </c>
      <c r="K72" s="768"/>
      <c r="L72" s="281">
        <v>0</v>
      </c>
      <c r="M72" s="280"/>
      <c r="N72" s="280"/>
      <c r="O72" s="279" t="str">
        <f t="shared" si="30"/>
        <v>-</v>
      </c>
      <c r="P72" s="768"/>
      <c r="Q72" s="281">
        <v>0</v>
      </c>
      <c r="R72" s="280">
        <v>0</v>
      </c>
      <c r="S72" s="280">
        <f t="shared" si="31"/>
        <v>0</v>
      </c>
      <c r="T72" s="279" t="str">
        <f t="shared" si="32"/>
        <v>-</v>
      </c>
      <c r="U72" s="768"/>
      <c r="V72" s="281">
        <f t="shared" si="33"/>
        <v>7500</v>
      </c>
      <c r="W72" s="280">
        <f t="shared" si="34"/>
        <v>0</v>
      </c>
      <c r="X72" s="280">
        <f t="shared" si="35"/>
        <v>7500</v>
      </c>
      <c r="Y72" s="279">
        <f t="shared" si="40"/>
        <v>1</v>
      </c>
      <c r="Z72" s="768"/>
      <c r="AA72" s="281">
        <v>15000</v>
      </c>
      <c r="AB72" s="280">
        <f t="shared" si="37"/>
        <v>15000</v>
      </c>
      <c r="AC72" s="279">
        <f t="shared" si="39"/>
        <v>1</v>
      </c>
      <c r="AD72" s="767"/>
      <c r="AE72" s="277"/>
    </row>
    <row r="73" spans="1:31" s="276" customFormat="1" ht="15.75" x14ac:dyDescent="0.25">
      <c r="A73" s="270" t="s">
        <v>77</v>
      </c>
      <c r="B73" s="281">
        <v>912500</v>
      </c>
      <c r="C73" s="280">
        <v>956978.53</v>
      </c>
      <c r="D73" s="280">
        <f t="shared" si="26"/>
        <v>-44478.530000000028</v>
      </c>
      <c r="E73" s="279">
        <f t="shared" si="27"/>
        <v>-4.8743594520547974E-2</v>
      </c>
      <c r="F73" s="287"/>
      <c r="G73" s="281">
        <v>912500</v>
      </c>
      <c r="H73" s="280">
        <v>945080.65</v>
      </c>
      <c r="I73" s="280">
        <f t="shared" si="28"/>
        <v>-32580.650000000023</v>
      </c>
      <c r="J73" s="279">
        <f t="shared" si="29"/>
        <v>-3.5704821917808244E-2</v>
      </c>
      <c r="K73" s="786"/>
      <c r="L73" s="281">
        <v>0</v>
      </c>
      <c r="M73" s="280"/>
      <c r="N73" s="280"/>
      <c r="O73" s="279" t="str">
        <f t="shared" si="30"/>
        <v>-</v>
      </c>
      <c r="P73" s="786"/>
      <c r="Q73" s="281">
        <v>0</v>
      </c>
      <c r="R73" s="280">
        <v>0</v>
      </c>
      <c r="S73" s="280">
        <f t="shared" si="31"/>
        <v>0</v>
      </c>
      <c r="T73" s="279" t="str">
        <f t="shared" si="32"/>
        <v>-</v>
      </c>
      <c r="U73" s="786"/>
      <c r="V73" s="281">
        <f t="shared" si="33"/>
        <v>1825000</v>
      </c>
      <c r="W73" s="280">
        <f t="shared" si="34"/>
        <v>1902059.1800000002</v>
      </c>
      <c r="X73" s="280">
        <f t="shared" si="35"/>
        <v>-77059.180000000168</v>
      </c>
      <c r="Y73" s="279">
        <f t="shared" si="40"/>
        <v>-4.2224208219178175E-2</v>
      </c>
      <c r="Z73" s="786"/>
      <c r="AA73" s="281">
        <v>3650000</v>
      </c>
      <c r="AB73" s="280">
        <f t="shared" si="37"/>
        <v>1747940.8199999998</v>
      </c>
      <c r="AC73" s="279">
        <f t="shared" si="39"/>
        <v>0.47888789589041092</v>
      </c>
      <c r="AD73" s="778"/>
      <c r="AE73" s="277"/>
    </row>
    <row r="74" spans="1:31" s="777" customFormat="1" ht="15.75" x14ac:dyDescent="0.25">
      <c r="A74" s="153" t="s">
        <v>78</v>
      </c>
      <c r="B74" s="281">
        <v>0</v>
      </c>
      <c r="C74" s="280">
        <v>0</v>
      </c>
      <c r="D74" s="280">
        <f t="shared" si="26"/>
        <v>0</v>
      </c>
      <c r="E74" s="279" t="str">
        <f t="shared" si="27"/>
        <v>-</v>
      </c>
      <c r="F74" s="282"/>
      <c r="G74" s="281">
        <v>0</v>
      </c>
      <c r="H74" s="280">
        <v>0</v>
      </c>
      <c r="I74" s="280">
        <f t="shared" si="28"/>
        <v>0</v>
      </c>
      <c r="J74" s="279" t="str">
        <f t="shared" si="29"/>
        <v>-</v>
      </c>
      <c r="K74" s="768"/>
      <c r="L74" s="281">
        <v>0</v>
      </c>
      <c r="M74" s="280"/>
      <c r="N74" s="280"/>
      <c r="O74" s="279"/>
      <c r="P74" s="768"/>
      <c r="Q74" s="281">
        <v>0</v>
      </c>
      <c r="R74" s="280">
        <v>0</v>
      </c>
      <c r="S74" s="280">
        <f t="shared" si="31"/>
        <v>0</v>
      </c>
      <c r="T74" s="279"/>
      <c r="U74" s="768"/>
      <c r="V74" s="281">
        <f t="shared" si="33"/>
        <v>0</v>
      </c>
      <c r="W74" s="280">
        <f t="shared" si="34"/>
        <v>0</v>
      </c>
      <c r="X74" s="280">
        <f t="shared" si="35"/>
        <v>0</v>
      </c>
      <c r="Y74" s="279" t="str">
        <f>IF(ISERROR(X74/V74),"-",X74/V74)</f>
        <v>-</v>
      </c>
      <c r="Z74" s="768"/>
      <c r="AA74" s="281">
        <v>0</v>
      </c>
      <c r="AB74" s="280">
        <f t="shared" si="37"/>
        <v>0</v>
      </c>
      <c r="AC74" s="279" t="str">
        <f>IF(ISERROR(AB74/AA74),"-",AB74/AA74)</f>
        <v>-</v>
      </c>
      <c r="AD74" s="767"/>
      <c r="AE74" s="323"/>
    </row>
    <row r="75" spans="1:31" s="777" customFormat="1" ht="15.75" x14ac:dyDescent="0.25">
      <c r="A75" s="785"/>
      <c r="B75" s="781"/>
      <c r="C75" s="780"/>
      <c r="D75" s="780">
        <f t="shared" si="26"/>
        <v>0</v>
      </c>
      <c r="E75" s="779" t="str">
        <f t="shared" si="27"/>
        <v>-</v>
      </c>
      <c r="F75" s="784"/>
      <c r="G75" s="781"/>
      <c r="H75" s="780"/>
      <c r="I75" s="780">
        <f t="shared" si="28"/>
        <v>0</v>
      </c>
      <c r="J75" s="779" t="str">
        <f t="shared" si="29"/>
        <v>-</v>
      </c>
      <c r="K75" s="782"/>
      <c r="L75" s="781"/>
      <c r="M75" s="780"/>
      <c r="N75" s="780"/>
      <c r="O75" s="783"/>
      <c r="P75" s="782"/>
      <c r="Q75" s="781"/>
      <c r="R75" s="780"/>
      <c r="S75" s="780"/>
      <c r="T75" s="783"/>
      <c r="U75" s="782"/>
      <c r="V75" s="781">
        <f t="shared" si="33"/>
        <v>0</v>
      </c>
      <c r="W75" s="780">
        <f t="shared" si="34"/>
        <v>0</v>
      </c>
      <c r="X75" s="780">
        <f t="shared" si="35"/>
        <v>0</v>
      </c>
      <c r="Y75" s="779" t="str">
        <f>IF(ISERROR(X75/V75),"-",X75/V75)</f>
        <v>-</v>
      </c>
      <c r="Z75" s="782"/>
      <c r="AA75" s="781">
        <v>0</v>
      </c>
      <c r="AB75" s="780">
        <f t="shared" si="37"/>
        <v>0</v>
      </c>
      <c r="AC75" s="779" t="str">
        <f>IF(ISERROR(AB75/AA75),"-",AB75/AA75)</f>
        <v>-</v>
      </c>
      <c r="AD75" s="778"/>
      <c r="AE75" s="323"/>
    </row>
    <row r="76" spans="1:31" s="276" customFormat="1" ht="15.75" x14ac:dyDescent="0.25">
      <c r="A76" s="146" t="s">
        <v>79</v>
      </c>
      <c r="B76" s="177">
        <f>SUM(B42:B74)</f>
        <v>2523992.2999999998</v>
      </c>
      <c r="C76" s="110">
        <f>SUM(C42:C74)</f>
        <v>2576339.4199999995</v>
      </c>
      <c r="D76" s="110">
        <f>SUM(D42:D74)</f>
        <v>-52347.119999999806</v>
      </c>
      <c r="E76" s="178">
        <f t="shared" si="27"/>
        <v>-2.0739809705441578E-2</v>
      </c>
      <c r="F76" s="776"/>
      <c r="G76" s="177">
        <f>SUM(G42:G74)</f>
        <v>2538992.2999999998</v>
      </c>
      <c r="H76" s="110">
        <f>SUM(H42:H74)</f>
        <v>2543664.8299999996</v>
      </c>
      <c r="I76" s="110">
        <f>SUM(I42:I74)</f>
        <v>-4672.5299999998606</v>
      </c>
      <c r="J76" s="178">
        <f t="shared" si="29"/>
        <v>-1.8403088500898016E-3</v>
      </c>
      <c r="K76" s="776"/>
      <c r="L76" s="177">
        <f>SUM(L42:L74)</f>
        <v>0</v>
      </c>
      <c r="M76" s="110"/>
      <c r="N76" s="110"/>
      <c r="O76" s="178" t="str">
        <f>IF(ISERROR(N76/L76),"-",N76/L76)</f>
        <v>-</v>
      </c>
      <c r="P76" s="776"/>
      <c r="Q76" s="177">
        <f>SUM(Q42:Q74)</f>
        <v>0</v>
      </c>
      <c r="R76" s="110">
        <f>SUM(R42:R74)</f>
        <v>0</v>
      </c>
      <c r="S76" s="110">
        <f>SUM(S42:S74)</f>
        <v>0</v>
      </c>
      <c r="T76" s="178" t="str">
        <f>IF(ISERROR(S76/Q76),"-",S76/Q76)</f>
        <v>-</v>
      </c>
      <c r="U76" s="776"/>
      <c r="V76" s="177">
        <f>SUM(V42:V74)</f>
        <v>5062984.5999999996</v>
      </c>
      <c r="W76" s="110">
        <f>SUM(W42:W74)</f>
        <v>5120004.25</v>
      </c>
      <c r="X76" s="110">
        <f>SUM(X42:X74)</f>
        <v>-57019.649999999776</v>
      </c>
      <c r="Y76" s="178">
        <f>IF(ISERROR(X76/V76),"-",X76/V76)</f>
        <v>-1.1262062697168737E-2</v>
      </c>
      <c r="Z76" s="776"/>
      <c r="AA76" s="177">
        <f>SUM(AA42:AA74)</f>
        <v>10095969.199999999</v>
      </c>
      <c r="AB76" s="110">
        <f>SUM(AB42:AB74)</f>
        <v>4975964.9500000011</v>
      </c>
      <c r="AC76" s="178">
        <f>IF(ISERROR(AB76/AA76),"-",AB76/AA76)</f>
        <v>0.49286649467987692</v>
      </c>
      <c r="AD76" s="775"/>
      <c r="AE76" s="641"/>
    </row>
    <row r="77" spans="1:31" s="276" customFormat="1" ht="15.75" x14ac:dyDescent="0.25">
      <c r="A77" s="774"/>
      <c r="B77" s="294"/>
      <c r="C77" s="295"/>
      <c r="D77" s="295"/>
      <c r="E77" s="296"/>
      <c r="F77" s="297"/>
      <c r="G77" s="294"/>
      <c r="H77" s="295"/>
      <c r="I77" s="295"/>
      <c r="J77" s="296"/>
      <c r="K77" s="772"/>
      <c r="L77" s="294"/>
      <c r="M77" s="295"/>
      <c r="N77" s="295"/>
      <c r="O77" s="296"/>
      <c r="P77" s="772"/>
      <c r="Q77" s="294"/>
      <c r="R77" s="295"/>
      <c r="S77" s="295"/>
      <c r="T77" s="642"/>
      <c r="U77" s="772"/>
      <c r="V77" s="645"/>
      <c r="W77" s="646"/>
      <c r="X77" s="295"/>
      <c r="Y77" s="296"/>
      <c r="Z77" s="772"/>
      <c r="AA77" s="645"/>
      <c r="AB77" s="295"/>
      <c r="AC77" s="296"/>
      <c r="AD77" s="771"/>
      <c r="AE77" s="323"/>
    </row>
    <row r="78" spans="1:31" s="276" customFormat="1" ht="15.75" x14ac:dyDescent="0.25">
      <c r="A78" s="146" t="s">
        <v>80</v>
      </c>
      <c r="B78" s="177">
        <f>B40+B76+B77</f>
        <v>2873031.3</v>
      </c>
      <c r="C78" s="110">
        <f>C40+C76+C77</f>
        <v>2956104.4399999995</v>
      </c>
      <c r="D78" s="110">
        <f>D40+D76+D77</f>
        <v>-83073.13999999981</v>
      </c>
      <c r="E78" s="178">
        <f>IF(ISERROR(D78/B78),"-",D78/B78)</f>
        <v>-2.8914805070170944E-2</v>
      </c>
      <c r="F78" s="768"/>
      <c r="G78" s="177">
        <f>G40+G76+G77</f>
        <v>2888031.3</v>
      </c>
      <c r="H78" s="110">
        <f>H40+H76+H77</f>
        <v>2915501.0699999994</v>
      </c>
      <c r="I78" s="110">
        <f>I40+I76+I77</f>
        <v>-27469.769999999873</v>
      </c>
      <c r="J78" s="178">
        <f>IF(ISERROR(I78/G78),"-",I78/G78)</f>
        <v>-9.5115901271568201E-3</v>
      </c>
      <c r="K78" s="768"/>
      <c r="L78" s="177">
        <f>L40+L76+L77</f>
        <v>0</v>
      </c>
      <c r="M78" s="110"/>
      <c r="N78" s="110"/>
      <c r="O78" s="178" t="str">
        <f>IF(ISERROR(N78/L78),"-",N78/L78)</f>
        <v>-</v>
      </c>
      <c r="P78" s="768"/>
      <c r="Q78" s="177">
        <f>Q40+Q76+Q77</f>
        <v>0</v>
      </c>
      <c r="R78" s="110">
        <f>R40+R76+R77</f>
        <v>0</v>
      </c>
      <c r="S78" s="110">
        <f>S40+S76+S77</f>
        <v>0</v>
      </c>
      <c r="T78" s="178" t="str">
        <f>IF(ISERROR(S78/Q78),"-",S78/Q78)</f>
        <v>-</v>
      </c>
      <c r="U78" s="768"/>
      <c r="V78" s="177">
        <f>V40+V76+V77</f>
        <v>5761062.5999999996</v>
      </c>
      <c r="W78" s="110">
        <f>W40+W76+W77</f>
        <v>5871605.5099999998</v>
      </c>
      <c r="X78" s="110">
        <f>X40+X76+X77</f>
        <v>-110542.90999999979</v>
      </c>
      <c r="Y78" s="178">
        <f>IF(ISERROR(X78/V78),"-",X78/V78)</f>
        <v>-1.9187937655806724E-2</v>
      </c>
      <c r="Z78" s="768"/>
      <c r="AA78" s="177">
        <f>AA40+AA76+AA77</f>
        <v>11492126.26</v>
      </c>
      <c r="AB78" s="110">
        <f>AB40+AB76+AB77</f>
        <v>5620520.7500000009</v>
      </c>
      <c r="AC78" s="178">
        <f>IF(ISERROR(AB78/AA78),"-",AB78/AA78)</f>
        <v>0.48907579179346755</v>
      </c>
      <c r="AD78" s="767"/>
      <c r="AE78" s="641"/>
    </row>
    <row r="79" spans="1:31" s="276" customFormat="1" ht="15.75" x14ac:dyDescent="0.25">
      <c r="A79" s="773"/>
      <c r="B79" s="294"/>
      <c r="C79" s="295"/>
      <c r="D79" s="295"/>
      <c r="E79" s="296"/>
      <c r="F79" s="297"/>
      <c r="G79" s="294"/>
      <c r="H79" s="295"/>
      <c r="I79" s="295"/>
      <c r="J79" s="296"/>
      <c r="K79" s="772"/>
      <c r="L79" s="294"/>
      <c r="M79" s="295"/>
      <c r="N79" s="295"/>
      <c r="O79" s="296"/>
      <c r="P79" s="772"/>
      <c r="Q79" s="294"/>
      <c r="R79" s="295"/>
      <c r="S79" s="295"/>
      <c r="T79" s="296"/>
      <c r="U79" s="772"/>
      <c r="V79" s="645"/>
      <c r="W79" s="646"/>
      <c r="X79" s="295"/>
      <c r="Y79" s="296"/>
      <c r="Z79" s="772"/>
      <c r="AA79" s="645"/>
      <c r="AB79" s="295"/>
      <c r="AC79" s="296"/>
      <c r="AD79" s="771"/>
      <c r="AE79" s="323"/>
    </row>
    <row r="80" spans="1:31" s="276" customFormat="1" ht="15.75" x14ac:dyDescent="0.25">
      <c r="A80" s="146" t="s">
        <v>81</v>
      </c>
      <c r="B80" s="177">
        <f>B27-B78</f>
        <v>-988904.29999999981</v>
      </c>
      <c r="C80" s="110">
        <f>C27-C78</f>
        <v>-1040328.2199999995</v>
      </c>
      <c r="D80" s="110">
        <f>D27+D78</f>
        <v>-51423.919999999809</v>
      </c>
      <c r="E80" s="178">
        <f>IF(ISERROR(D80/B80),"-",D80/B80)</f>
        <v>5.200090645778345E-2</v>
      </c>
      <c r="F80" s="768"/>
      <c r="G80" s="177">
        <f>G27-G78</f>
        <v>-69909.299999999814</v>
      </c>
      <c r="H80" s="110">
        <f>H27-H78</f>
        <v>-616507.03999999957</v>
      </c>
      <c r="I80" s="110">
        <f>I27+I78</f>
        <v>-546597.73999999987</v>
      </c>
      <c r="J80" s="178">
        <f>IF(ISERROR(I80/G80),"-",I80/G80)</f>
        <v>7.8186699051485471</v>
      </c>
      <c r="K80" s="768"/>
      <c r="L80" s="177">
        <f>L27-L78</f>
        <v>0</v>
      </c>
      <c r="M80" s="110"/>
      <c r="N80" s="110"/>
      <c r="O80" s="178" t="str">
        <f>IF(ISERROR(N80/L80),"-",N80/L80)</f>
        <v>-</v>
      </c>
      <c r="P80" s="768"/>
      <c r="Q80" s="177">
        <f>Q27-Q78</f>
        <v>0</v>
      </c>
      <c r="R80" s="110">
        <f>R27-R78</f>
        <v>0</v>
      </c>
      <c r="S80" s="110">
        <f>S27+S78</f>
        <v>0</v>
      </c>
      <c r="T80" s="178" t="str">
        <f>IF(ISERROR(S80/Q80),"-",S80/Q80)</f>
        <v>-</v>
      </c>
      <c r="U80" s="768"/>
      <c r="V80" s="242">
        <f>V27-V78</f>
        <v>-1058813.5999999996</v>
      </c>
      <c r="W80" s="109">
        <f>W27-W78</f>
        <v>-1656835.2599999998</v>
      </c>
      <c r="X80" s="109">
        <f>X27+X78</f>
        <v>-598021.6599999998</v>
      </c>
      <c r="Y80" s="243">
        <f>IF(ISERROR(X80/V80),"-",X80/V80)</f>
        <v>0.56480353104644676</v>
      </c>
      <c r="Z80" s="768"/>
      <c r="AA80" s="177">
        <f>AA27-AA78</f>
        <v>-2571900.459999999</v>
      </c>
      <c r="AB80" s="110">
        <f>AB27-AB78</f>
        <v>-915065.20000000019</v>
      </c>
      <c r="AC80" s="178">
        <f>IF(ISERROR(AB80/AA80),"-",AB80/AA80)</f>
        <v>0.35579339645205421</v>
      </c>
      <c r="AD80" s="767"/>
      <c r="AE80" s="641"/>
    </row>
    <row r="81" spans="1:31" s="276" customFormat="1" ht="15.75" x14ac:dyDescent="0.25">
      <c r="A81" s="770"/>
      <c r="B81" s="298"/>
      <c r="C81" s="299"/>
      <c r="D81" s="300"/>
      <c r="E81" s="301"/>
      <c r="F81" s="302"/>
      <c r="G81" s="298"/>
      <c r="H81" s="299"/>
      <c r="I81" s="300"/>
      <c r="J81" s="301"/>
      <c r="K81" s="765"/>
      <c r="L81" s="298"/>
      <c r="M81" s="299"/>
      <c r="N81" s="300"/>
      <c r="O81" s="301"/>
      <c r="P81" s="765"/>
      <c r="Q81" s="298"/>
      <c r="R81" s="299"/>
      <c r="S81" s="300"/>
      <c r="T81" s="301"/>
      <c r="U81" s="765"/>
      <c r="V81" s="638"/>
      <c r="W81" s="639"/>
      <c r="X81" s="300"/>
      <c r="Y81" s="301"/>
      <c r="Z81" s="765"/>
      <c r="AA81" s="638"/>
      <c r="AB81" s="300"/>
      <c r="AC81" s="301"/>
      <c r="AD81" s="764"/>
      <c r="AE81" s="323"/>
    </row>
    <row r="82" spans="1:31" s="276" customFormat="1" ht="15.75" x14ac:dyDescent="0.25">
      <c r="A82" s="769" t="s">
        <v>82</v>
      </c>
      <c r="B82" s="281"/>
      <c r="C82" s="280"/>
      <c r="D82" s="280">
        <f>B82-C82</f>
        <v>0</v>
      </c>
      <c r="E82" s="325" t="str">
        <f>IF(ISERROR(D82/B82),"-",D82/B82)</f>
        <v>-</v>
      </c>
      <c r="F82" s="282"/>
      <c r="G82" s="281"/>
      <c r="H82" s="280"/>
      <c r="I82" s="280">
        <f>G82-H82</f>
        <v>0</v>
      </c>
      <c r="J82" s="325" t="str">
        <f>IF(ISERROR(I82/G82),"-",I82/G82)</f>
        <v>-</v>
      </c>
      <c r="K82" s="768"/>
      <c r="L82" s="281"/>
      <c r="M82" s="280"/>
      <c r="N82" s="280">
        <f>L82-M82</f>
        <v>0</v>
      </c>
      <c r="O82" s="325" t="str">
        <f>IF(ISERROR(N82/L82),"-",N82/L82)</f>
        <v>-</v>
      </c>
      <c r="P82" s="768"/>
      <c r="Q82" s="281"/>
      <c r="R82" s="280"/>
      <c r="S82" s="280">
        <f>Q82-R82</f>
        <v>0</v>
      </c>
      <c r="T82" s="325" t="str">
        <f>IF(ISERROR(S82/Q82),"-",S82/Q82)</f>
        <v>-</v>
      </c>
      <c r="U82" s="768"/>
      <c r="V82" s="281">
        <f>B82+G82+L82+Q82</f>
        <v>0</v>
      </c>
      <c r="W82" s="280">
        <f>C82+H82+M82+R82</f>
        <v>0</v>
      </c>
      <c r="X82" s="280">
        <f>V82-W82</f>
        <v>0</v>
      </c>
      <c r="Y82" s="325" t="str">
        <f>IF(ISERROR(X82/V82),"-",X82/V82)</f>
        <v>-</v>
      </c>
      <c r="Z82" s="768"/>
      <c r="AA82" s="281">
        <f>G82+L82+Q82+V82</f>
        <v>0</v>
      </c>
      <c r="AB82" s="280">
        <f>AA82-W82</f>
        <v>0</v>
      </c>
      <c r="AC82" s="325" t="str">
        <f>IF(ISERROR(AB82/AA82),"-",AB82/AA82)</f>
        <v>-</v>
      </c>
      <c r="AD82" s="767"/>
      <c r="AE82" s="323"/>
    </row>
    <row r="83" spans="1:31" s="276" customFormat="1" ht="15.75" x14ac:dyDescent="0.25">
      <c r="A83" s="766"/>
      <c r="B83" s="635"/>
      <c r="C83" s="634"/>
      <c r="D83" s="634"/>
      <c r="E83" s="633"/>
      <c r="F83" s="302"/>
      <c r="G83" s="635"/>
      <c r="H83" s="634"/>
      <c r="I83" s="634"/>
      <c r="J83" s="633"/>
      <c r="K83" s="765"/>
      <c r="L83" s="635"/>
      <c r="M83" s="634"/>
      <c r="N83" s="634"/>
      <c r="O83" s="633"/>
      <c r="P83" s="765"/>
      <c r="Q83" s="635"/>
      <c r="R83" s="634"/>
      <c r="S83" s="634"/>
      <c r="T83" s="633"/>
      <c r="U83" s="765"/>
      <c r="V83" s="635"/>
      <c r="W83" s="634"/>
      <c r="X83" s="634"/>
      <c r="Y83" s="633"/>
      <c r="Z83" s="765"/>
      <c r="AA83" s="635"/>
      <c r="AB83" s="634"/>
      <c r="AC83" s="633"/>
      <c r="AD83" s="764"/>
      <c r="AE83" s="323"/>
    </row>
    <row r="84" spans="1:31" s="276" customFormat="1" ht="16.5" thickBot="1" x14ac:dyDescent="0.3">
      <c r="A84" s="157" t="s">
        <v>83</v>
      </c>
      <c r="B84" s="197">
        <f>B80-B82</f>
        <v>-988904.29999999981</v>
      </c>
      <c r="C84" s="198">
        <f>C80-C82</f>
        <v>-1040328.2199999995</v>
      </c>
      <c r="D84" s="198">
        <f>D80+D82</f>
        <v>-51423.919999999809</v>
      </c>
      <c r="E84" s="199">
        <f>IF(ISERROR(D84/B84),"-",D84/B84)</f>
        <v>5.200090645778345E-2</v>
      </c>
      <c r="F84" s="763"/>
      <c r="G84" s="197">
        <f>G80-G82</f>
        <v>-69909.299999999814</v>
      </c>
      <c r="H84" s="198">
        <f>H80-H82</f>
        <v>-616507.03999999957</v>
      </c>
      <c r="I84" s="198">
        <f>I80+I82</f>
        <v>-546597.73999999987</v>
      </c>
      <c r="J84" s="199">
        <f>IF(ISERROR(I84/G84),"-",I84/G84)</f>
        <v>7.8186699051485471</v>
      </c>
      <c r="K84" s="763"/>
      <c r="L84" s="197">
        <f>L80-L82</f>
        <v>0</v>
      </c>
      <c r="M84" s="198">
        <f>M80-M82</f>
        <v>0</v>
      </c>
      <c r="N84" s="198">
        <f>N80+N82</f>
        <v>0</v>
      </c>
      <c r="O84" s="199" t="str">
        <f>IF(ISERROR(N84/L84),"-",N84/L84)</f>
        <v>-</v>
      </c>
      <c r="P84" s="763"/>
      <c r="Q84" s="197">
        <f>Q80-Q82</f>
        <v>0</v>
      </c>
      <c r="R84" s="198">
        <f>R80-R82</f>
        <v>0</v>
      </c>
      <c r="S84" s="198">
        <f>S80+S82</f>
        <v>0</v>
      </c>
      <c r="T84" s="199" t="str">
        <f>IF(ISERROR(S84/Q84),"-",S84/Q84)</f>
        <v>-</v>
      </c>
      <c r="U84" s="763"/>
      <c r="V84" s="244">
        <f>V80-V82</f>
        <v>-1058813.5999999996</v>
      </c>
      <c r="W84" s="245">
        <f>W80-W82</f>
        <v>-1656835.2599999998</v>
      </c>
      <c r="X84" s="245">
        <f>X80+X82</f>
        <v>-598021.6599999998</v>
      </c>
      <c r="Y84" s="246">
        <f>IF(ISERROR(X84/V84),"-",X84/V84)</f>
        <v>0.56480353104644676</v>
      </c>
      <c r="Z84" s="763"/>
      <c r="AA84" s="244">
        <f>AA80-AA82</f>
        <v>-2571900.459999999</v>
      </c>
      <c r="AB84" s="245">
        <f>AA84-W84</f>
        <v>-915065.19999999925</v>
      </c>
      <c r="AC84" s="246">
        <f>IF(ISERROR(AB84/AA84),"-",AB84/AA84)</f>
        <v>0.35579339645205382</v>
      </c>
      <c r="AD84" s="762"/>
      <c r="AE84" s="622"/>
    </row>
    <row r="85" spans="1:31" s="276" customFormat="1" x14ac:dyDescent="0.25">
      <c r="A85" s="249"/>
      <c r="B85" s="249"/>
      <c r="C85" s="249"/>
      <c r="D85" s="249"/>
      <c r="E85" s="249"/>
      <c r="F85" s="249"/>
      <c r="G85" s="249"/>
      <c r="H85" s="249"/>
      <c r="I85" s="249"/>
      <c r="J85" s="249"/>
      <c r="K85" s="249"/>
      <c r="L85" s="249"/>
      <c r="M85" s="249"/>
      <c r="N85" s="249"/>
      <c r="O85" s="249"/>
      <c r="P85" s="249"/>
      <c r="Q85" s="249"/>
      <c r="R85" s="249"/>
      <c r="S85" s="249"/>
      <c r="T85" s="249"/>
      <c r="U85" s="249"/>
      <c r="V85" s="249"/>
      <c r="W85" s="249"/>
      <c r="X85" s="249"/>
      <c r="Y85" s="249"/>
      <c r="Z85" s="249"/>
      <c r="AA85" s="249"/>
      <c r="AB85" s="249"/>
      <c r="AC85" s="249"/>
      <c r="AD85" s="249"/>
      <c r="AE85" s="249"/>
    </row>
    <row r="86" spans="1:31" s="276" customFormat="1" x14ac:dyDescent="0.25">
      <c r="A86" s="249"/>
      <c r="B86" s="249"/>
      <c r="C86" s="249"/>
      <c r="D86" s="249"/>
      <c r="E86" s="249"/>
      <c r="F86" s="249"/>
      <c r="G86" s="249"/>
      <c r="H86" s="249"/>
      <c r="I86" s="249"/>
      <c r="J86" s="249"/>
      <c r="K86" s="249"/>
      <c r="L86" s="249"/>
      <c r="M86" s="249"/>
      <c r="N86" s="249"/>
      <c r="O86" s="249"/>
      <c r="P86" s="249"/>
      <c r="Q86" s="249"/>
      <c r="R86" s="249"/>
      <c r="S86" s="249"/>
      <c r="T86" s="249"/>
      <c r="U86" s="249"/>
      <c r="V86" s="249"/>
      <c r="W86" s="249"/>
      <c r="X86" s="249"/>
      <c r="Y86" s="249"/>
      <c r="Z86" s="249"/>
      <c r="AA86" s="249"/>
      <c r="AB86" s="249"/>
      <c r="AC86" s="249"/>
      <c r="AD86" s="249"/>
      <c r="AE86" s="249"/>
    </row>
    <row r="88" spans="1:31" x14ac:dyDescent="0.25">
      <c r="H88" s="591"/>
    </row>
  </sheetData>
  <mergeCells count="19">
    <mergeCell ref="Q9:T9"/>
    <mergeCell ref="V9:Y9"/>
    <mergeCell ref="AA9:AC9"/>
    <mergeCell ref="AE9:AE11"/>
    <mergeCell ref="D10:E10"/>
    <mergeCell ref="I10:J10"/>
    <mergeCell ref="N10:O10"/>
    <mergeCell ref="S10:T10"/>
    <mergeCell ref="X10:Y10"/>
    <mergeCell ref="AB10:AC10"/>
    <mergeCell ref="B9:E9"/>
    <mergeCell ref="G9:J9"/>
    <mergeCell ref="L9:O9"/>
    <mergeCell ref="A7:H7"/>
    <mergeCell ref="A1:H1"/>
    <mergeCell ref="A3:H3"/>
    <mergeCell ref="A4:H4"/>
    <mergeCell ref="A5:H5"/>
    <mergeCell ref="A6:H6"/>
  </mergeCells>
  <conditionalFormatting sqref="E53">
    <cfRule type="cellIs" dxfId="0" priority="1" stopIfTrue="1" operator="equal">
      <formula>""""""</formula>
    </cfRule>
  </conditionalFormatting>
  <pageMargins left="0.7" right="0.7" top="0.75" bottom="0.75" header="0.3" footer="0.3"/>
  <pageSetup paperSize="17" scale="49" fitToHeight="0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HW72"/>
  <sheetViews>
    <sheetView zoomScale="80" zoomScaleNormal="80" workbookViewId="0">
      <selection activeCell="D72" sqref="D14:D72"/>
    </sheetView>
  </sheetViews>
  <sheetFormatPr defaultColWidth="8.85546875" defaultRowHeight="15.75" customHeight="1" x14ac:dyDescent="0.25"/>
  <cols>
    <col min="1" max="1" width="64.42578125" style="8" customWidth="1"/>
    <col min="2" max="2" width="16.42578125" style="249" customWidth="1"/>
    <col min="3" max="3" width="16.85546875" style="249" customWidth="1"/>
    <col min="4" max="4" width="18.140625" style="249" customWidth="1"/>
    <col min="5" max="5" width="17" style="8" customWidth="1"/>
    <col min="6" max="6" width="17.42578125" style="8" customWidth="1"/>
    <col min="7" max="10" width="8.85546875" style="8" customWidth="1"/>
    <col min="11" max="11" width="9.85546875" style="8" bestFit="1" customWidth="1"/>
    <col min="12" max="231" width="8.85546875" style="8" customWidth="1"/>
    <col min="232" max="16384" width="8.85546875" style="2"/>
  </cols>
  <sheetData>
    <row r="1" spans="1:231" ht="18.75" customHeight="1" x14ac:dyDescent="0.25">
      <c r="A1" s="862" t="s">
        <v>0</v>
      </c>
      <c r="B1" s="879"/>
      <c r="C1" s="879"/>
      <c r="D1" s="879"/>
      <c r="E1" s="879"/>
      <c r="F1" s="879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</row>
    <row r="2" spans="1:231" ht="18.75" customHeight="1" x14ac:dyDescent="0.25">
      <c r="A2" s="3"/>
      <c r="B2" s="731"/>
      <c r="C2" s="731"/>
      <c r="D2" s="731"/>
      <c r="E2" s="4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</row>
    <row r="3" spans="1:231" s="9" customFormat="1" ht="18.75" customHeight="1" x14ac:dyDescent="0.3">
      <c r="A3" s="858" t="s">
        <v>222</v>
      </c>
      <c r="B3" s="859"/>
      <c r="C3" s="859"/>
      <c r="D3" s="859"/>
      <c r="E3" s="859"/>
      <c r="F3" s="859"/>
    </row>
    <row r="4" spans="1:231" ht="18.75" customHeight="1" x14ac:dyDescent="0.3">
      <c r="A4" s="880" t="s">
        <v>84</v>
      </c>
      <c r="B4" s="860"/>
      <c r="C4" s="860"/>
      <c r="D4" s="860"/>
      <c r="E4" s="860"/>
      <c r="F4" s="86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</row>
    <row r="5" spans="1:231" ht="18.75" customHeight="1" x14ac:dyDescent="0.3">
      <c r="A5" s="880" t="s">
        <v>85</v>
      </c>
      <c r="B5" s="881"/>
      <c r="C5" s="881"/>
      <c r="D5" s="881"/>
      <c r="E5" s="881"/>
      <c r="F5" s="88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</row>
    <row r="6" spans="1:231" ht="18.75" customHeight="1" x14ac:dyDescent="0.3">
      <c r="A6" s="858" t="s">
        <v>87</v>
      </c>
      <c r="B6" s="882"/>
      <c r="C6" s="882"/>
      <c r="D6" s="882"/>
      <c r="E6" s="882"/>
      <c r="F6" s="88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</row>
    <row r="7" spans="1:231" ht="18.75" customHeight="1" x14ac:dyDescent="0.3">
      <c r="A7" s="858" t="s">
        <v>5</v>
      </c>
      <c r="B7" s="859"/>
      <c r="C7" s="859"/>
      <c r="D7" s="859"/>
      <c r="E7" s="859"/>
      <c r="F7" s="859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</row>
    <row r="8" spans="1:231" ht="16.5" customHeight="1" thickBot="1" x14ac:dyDescent="0.3">
      <c r="A8" s="6"/>
      <c r="B8" s="761"/>
      <c r="C8" s="815"/>
      <c r="D8" s="761"/>
      <c r="E8" s="7"/>
      <c r="F8" s="3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</row>
    <row r="9" spans="1:231" ht="17.45" customHeight="1" x14ac:dyDescent="0.25">
      <c r="A9" s="17"/>
      <c r="B9" s="760" t="s">
        <v>162</v>
      </c>
      <c r="C9" s="814" t="s">
        <v>163</v>
      </c>
      <c r="D9" s="760" t="s">
        <v>98</v>
      </c>
      <c r="E9" s="49" t="s">
        <v>164</v>
      </c>
      <c r="F9" s="35" t="s">
        <v>165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</row>
    <row r="10" spans="1:231" ht="15" customHeight="1" x14ac:dyDescent="0.25">
      <c r="A10" s="18"/>
      <c r="B10" s="759">
        <v>43831</v>
      </c>
      <c r="C10" s="813">
        <v>43921</v>
      </c>
      <c r="D10" s="759">
        <v>44012</v>
      </c>
      <c r="E10" s="50">
        <v>44104</v>
      </c>
      <c r="F10" s="61">
        <v>44196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</row>
    <row r="11" spans="1:231" ht="15" customHeight="1" thickBot="1" x14ac:dyDescent="0.3">
      <c r="A11" s="19"/>
      <c r="B11" s="758" t="s">
        <v>19</v>
      </c>
      <c r="C11" s="812" t="s">
        <v>19</v>
      </c>
      <c r="D11" s="758" t="s">
        <v>19</v>
      </c>
      <c r="E11" s="51" t="s">
        <v>19</v>
      </c>
      <c r="F11" s="37" t="s">
        <v>19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</row>
    <row r="12" spans="1:231" ht="15" customHeight="1" x14ac:dyDescent="0.25">
      <c r="A12" s="20" t="s">
        <v>99</v>
      </c>
      <c r="B12" s="757"/>
      <c r="C12" s="811"/>
      <c r="D12" s="757"/>
      <c r="E12" s="52"/>
      <c r="F12" s="38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</row>
    <row r="13" spans="1:231" x14ac:dyDescent="0.25">
      <c r="A13" s="21" t="s">
        <v>100</v>
      </c>
      <c r="B13" s="753"/>
      <c r="C13" s="306"/>
      <c r="D13" s="753"/>
      <c r="E13" s="12"/>
      <c r="F13" s="39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</row>
    <row r="14" spans="1:231" s="746" customFormat="1" ht="15" customHeight="1" x14ac:dyDescent="0.25">
      <c r="A14" s="810" t="s">
        <v>101</v>
      </c>
      <c r="B14" s="753">
        <v>511520.27</v>
      </c>
      <c r="C14" s="306">
        <v>252883.07</v>
      </c>
      <c r="D14" s="753">
        <v>1287673.6299999999</v>
      </c>
      <c r="E14" s="306">
        <v>0</v>
      </c>
      <c r="F14" s="753">
        <v>0</v>
      </c>
    </row>
    <row r="15" spans="1:231" s="746" customFormat="1" ht="15" customHeight="1" x14ac:dyDescent="0.25">
      <c r="A15" s="809" t="s">
        <v>102</v>
      </c>
      <c r="B15" s="753">
        <v>7899374.0499999998</v>
      </c>
      <c r="C15" s="306">
        <v>7899374.0499999998</v>
      </c>
      <c r="D15" s="753">
        <v>7899374.0499999998</v>
      </c>
      <c r="E15" s="306">
        <v>0</v>
      </c>
      <c r="F15" s="753">
        <v>0</v>
      </c>
    </row>
    <row r="16" spans="1:231" s="746" customFormat="1" ht="15" customHeight="1" x14ac:dyDescent="0.25">
      <c r="A16" s="809" t="s">
        <v>103</v>
      </c>
      <c r="B16" s="753">
        <v>0</v>
      </c>
      <c r="C16" s="306">
        <v>0</v>
      </c>
      <c r="D16" s="753">
        <v>0</v>
      </c>
      <c r="E16" s="306">
        <v>0</v>
      </c>
      <c r="F16" s="753">
        <v>0</v>
      </c>
    </row>
    <row r="17" spans="1:231" s="746" customFormat="1" ht="15" customHeight="1" x14ac:dyDescent="0.25">
      <c r="A17" s="809" t="s">
        <v>104</v>
      </c>
      <c r="B17" s="753">
        <v>0</v>
      </c>
      <c r="C17" s="306">
        <v>0</v>
      </c>
      <c r="D17" s="753">
        <v>0</v>
      </c>
      <c r="E17" s="306">
        <v>0</v>
      </c>
      <c r="F17" s="753">
        <v>0</v>
      </c>
    </row>
    <row r="18" spans="1:231" s="746" customFormat="1" ht="15" customHeight="1" x14ac:dyDescent="0.25">
      <c r="A18" s="809" t="s">
        <v>105</v>
      </c>
      <c r="B18" s="753">
        <f>-6514859.83+11257.49+117.75</f>
        <v>-6503484.5899999999</v>
      </c>
      <c r="C18" s="306">
        <f>-6514859.83+11257.49+117.75</f>
        <v>-6503484.5899999999</v>
      </c>
      <c r="D18" s="753">
        <f>-6514859.83+11257.49+117.75</f>
        <v>-6503484.5899999999</v>
      </c>
      <c r="E18" s="306">
        <v>0</v>
      </c>
      <c r="F18" s="753">
        <v>0</v>
      </c>
    </row>
    <row r="19" spans="1:231" s="746" customFormat="1" ht="15" customHeight="1" x14ac:dyDescent="0.25">
      <c r="A19" s="808" t="s">
        <v>106</v>
      </c>
      <c r="B19" s="756">
        <v>262117.9</v>
      </c>
      <c r="C19" s="805">
        <v>271141.65000000002</v>
      </c>
      <c r="D19" s="756">
        <v>362702.37</v>
      </c>
      <c r="E19" s="805">
        <v>0</v>
      </c>
      <c r="F19" s="756">
        <v>0</v>
      </c>
    </row>
    <row r="20" spans="1:231" s="746" customFormat="1" ht="15" customHeight="1" x14ac:dyDescent="0.25">
      <c r="A20" s="23" t="s">
        <v>107</v>
      </c>
      <c r="B20" s="41">
        <f>SUM(B14:B19)</f>
        <v>2169527.6300000004</v>
      </c>
      <c r="C20" s="54">
        <f>SUM(C14:C19)</f>
        <v>1919914.1800000002</v>
      </c>
      <c r="D20" s="41">
        <f>SUM(D14:D19)</f>
        <v>3046265.46</v>
      </c>
      <c r="E20" s="54">
        <f>SUM(E14:E19)</f>
        <v>0</v>
      </c>
      <c r="F20" s="41">
        <f>SUM(F14:F19)</f>
        <v>0</v>
      </c>
    </row>
    <row r="21" spans="1:231" s="746" customFormat="1" ht="15" customHeight="1" x14ac:dyDescent="0.25">
      <c r="A21" s="807"/>
      <c r="B21" s="752"/>
      <c r="C21" s="802"/>
      <c r="D21" s="752"/>
      <c r="E21" s="802"/>
      <c r="F21" s="752"/>
    </row>
    <row r="22" spans="1:231" s="746" customFormat="1" ht="15" customHeight="1" x14ac:dyDescent="0.25">
      <c r="A22" s="806" t="s">
        <v>108</v>
      </c>
      <c r="B22" s="753"/>
      <c r="C22" s="306"/>
      <c r="D22" s="753"/>
      <c r="E22" s="306"/>
      <c r="F22" s="753"/>
    </row>
    <row r="23" spans="1:231" ht="15" customHeight="1" x14ac:dyDescent="0.25">
      <c r="A23" s="11" t="s">
        <v>109</v>
      </c>
      <c r="B23" s="753">
        <v>0</v>
      </c>
      <c r="C23" s="306">
        <v>0</v>
      </c>
      <c r="D23" s="753">
        <v>0</v>
      </c>
      <c r="E23" s="12">
        <v>0</v>
      </c>
      <c r="F23" s="39">
        <v>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</row>
    <row r="24" spans="1:231" ht="15" customHeight="1" x14ac:dyDescent="0.25">
      <c r="A24" s="11" t="s">
        <v>110</v>
      </c>
      <c r="B24" s="753">
        <v>0</v>
      </c>
      <c r="C24" s="306">
        <v>0</v>
      </c>
      <c r="D24" s="753">
        <v>0</v>
      </c>
      <c r="E24" s="12">
        <v>0</v>
      </c>
      <c r="F24" s="39">
        <v>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</row>
    <row r="25" spans="1:231" ht="15" customHeight="1" x14ac:dyDescent="0.25">
      <c r="A25" s="11" t="s">
        <v>111</v>
      </c>
      <c r="B25" s="753">
        <v>0</v>
      </c>
      <c r="C25" s="306">
        <v>0</v>
      </c>
      <c r="D25" s="753">
        <v>0</v>
      </c>
      <c r="E25" s="12">
        <v>0</v>
      </c>
      <c r="F25" s="39"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</row>
    <row r="26" spans="1:231" ht="15" customHeight="1" x14ac:dyDescent="0.25">
      <c r="A26" s="11" t="s">
        <v>112</v>
      </c>
      <c r="B26" s="753">
        <v>806765.08</v>
      </c>
      <c r="C26" s="306">
        <v>806765</v>
      </c>
      <c r="D26" s="753">
        <v>806765.08</v>
      </c>
      <c r="E26" s="12">
        <v>0</v>
      </c>
      <c r="F26" s="39">
        <v>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</row>
    <row r="27" spans="1:231" ht="15" customHeight="1" x14ac:dyDescent="0.25">
      <c r="A27" s="11" t="s">
        <v>167</v>
      </c>
      <c r="B27" s="753">
        <v>0</v>
      </c>
      <c r="C27" s="306">
        <v>0</v>
      </c>
      <c r="D27" s="753">
        <v>0</v>
      </c>
      <c r="E27" s="12">
        <v>0</v>
      </c>
      <c r="F27" s="39">
        <v>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</row>
    <row r="28" spans="1:231" ht="15" customHeight="1" x14ac:dyDescent="0.25">
      <c r="A28" s="11" t="s">
        <v>168</v>
      </c>
      <c r="B28" s="753">
        <v>0</v>
      </c>
      <c r="C28" s="306">
        <v>0</v>
      </c>
      <c r="D28" s="753">
        <v>0</v>
      </c>
      <c r="E28" s="12">
        <v>0</v>
      </c>
      <c r="F28" s="39">
        <v>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</row>
    <row r="29" spans="1:231" ht="15" customHeight="1" x14ac:dyDescent="0.25">
      <c r="A29" s="22" t="s">
        <v>115</v>
      </c>
      <c r="B29" s="756">
        <v>0</v>
      </c>
      <c r="C29" s="805">
        <v>0</v>
      </c>
      <c r="D29" s="756">
        <v>0</v>
      </c>
      <c r="E29" s="53">
        <v>0</v>
      </c>
      <c r="F29" s="40"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</row>
    <row r="30" spans="1:231" ht="15" customHeight="1" x14ac:dyDescent="0.25">
      <c r="A30" s="23" t="s">
        <v>116</v>
      </c>
      <c r="B30" s="41">
        <f>SUM(B23:B29)</f>
        <v>806765.08</v>
      </c>
      <c r="C30" s="54">
        <f>SUM(C23:C29)</f>
        <v>806765</v>
      </c>
      <c r="D30" s="41">
        <f>SUM(D23:D29)</f>
        <v>806765.08</v>
      </c>
      <c r="E30" s="54">
        <f>SUM(E23:E29)</f>
        <v>0</v>
      </c>
      <c r="F30" s="41">
        <f>SUM(F23:F29)</f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</row>
    <row r="31" spans="1:231" ht="15" customHeight="1" x14ac:dyDescent="0.25">
      <c r="A31" s="24"/>
      <c r="B31" s="752"/>
      <c r="C31" s="802"/>
      <c r="D31" s="752"/>
      <c r="E31" s="55"/>
      <c r="F31" s="4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</row>
    <row r="32" spans="1:231" ht="15" customHeight="1" x14ac:dyDescent="0.25">
      <c r="A32" s="25" t="s">
        <v>117</v>
      </c>
      <c r="B32" s="593"/>
      <c r="C32" s="801"/>
      <c r="D32" s="593"/>
      <c r="E32" s="15"/>
      <c r="F32" s="4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</row>
    <row r="33" spans="1:231" ht="15" customHeight="1" x14ac:dyDescent="0.25">
      <c r="A33" s="13" t="s">
        <v>118</v>
      </c>
      <c r="B33" s="593">
        <f>-40905.48-1594819.38-73432.7+740195.87+1400283.38+116298.26+5762007.35+235318.31</f>
        <v>6544945.6099999994</v>
      </c>
      <c r="C33" s="801">
        <f t="shared" ref="C33:D37" si="0">B33</f>
        <v>6544945.6099999994</v>
      </c>
      <c r="D33" s="593">
        <f t="shared" si="0"/>
        <v>6544945.6099999994</v>
      </c>
      <c r="E33" s="15">
        <v>0</v>
      </c>
      <c r="F33" s="43"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</row>
    <row r="34" spans="1:231" ht="15" customHeight="1" x14ac:dyDescent="0.25">
      <c r="A34" s="13" t="s">
        <v>119</v>
      </c>
      <c r="B34" s="593">
        <f>-50900.3+68299</f>
        <v>17398.699999999997</v>
      </c>
      <c r="C34" s="801">
        <f t="shared" si="0"/>
        <v>17398.699999999997</v>
      </c>
      <c r="D34" s="593">
        <f t="shared" si="0"/>
        <v>17398.699999999997</v>
      </c>
      <c r="E34" s="15">
        <v>0</v>
      </c>
      <c r="F34" s="43">
        <v>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</row>
    <row r="35" spans="1:231" ht="15" customHeight="1" x14ac:dyDescent="0.25">
      <c r="A35" s="13" t="s">
        <v>120</v>
      </c>
      <c r="B35" s="593">
        <f>-73793.44+102441.95+4871.5-453.37</f>
        <v>33066.639999999992</v>
      </c>
      <c r="C35" s="801">
        <f t="shared" si="0"/>
        <v>33066.639999999992</v>
      </c>
      <c r="D35" s="593">
        <f t="shared" si="0"/>
        <v>33066.639999999992</v>
      </c>
      <c r="E35" s="15">
        <v>0</v>
      </c>
      <c r="F35" s="43">
        <v>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</row>
    <row r="36" spans="1:231" ht="15" customHeight="1" x14ac:dyDescent="0.25">
      <c r="A36" s="13" t="s">
        <v>121</v>
      </c>
      <c r="B36" s="593">
        <f>-37646.47-112951.49+39113.06+113049.04</f>
        <v>1564.1399999999703</v>
      </c>
      <c r="C36" s="801">
        <f t="shared" si="0"/>
        <v>1564.1399999999703</v>
      </c>
      <c r="D36" s="593">
        <f t="shared" si="0"/>
        <v>1564.1399999999703</v>
      </c>
      <c r="E36" s="15">
        <v>0</v>
      </c>
      <c r="F36" s="43">
        <v>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</row>
    <row r="37" spans="1:231" ht="15" customHeight="1" x14ac:dyDescent="0.25">
      <c r="A37" s="13" t="s">
        <v>122</v>
      </c>
      <c r="B37" s="593">
        <f>-235038.11+446197.7</f>
        <v>211159.59000000003</v>
      </c>
      <c r="C37" s="801">
        <f t="shared" si="0"/>
        <v>211159.59000000003</v>
      </c>
      <c r="D37" s="593">
        <f t="shared" si="0"/>
        <v>211159.59000000003</v>
      </c>
      <c r="E37" s="15">
        <v>0</v>
      </c>
      <c r="F37" s="43"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</row>
    <row r="38" spans="1:231" ht="15" customHeight="1" x14ac:dyDescent="0.25">
      <c r="A38" s="13" t="s">
        <v>169</v>
      </c>
      <c r="B38" s="593">
        <f>-31593.64-2883538.02-2011069.33-204268.35+282096.82+36026.51+2437659.76+3495197.64+11092732</f>
        <v>12213243.390000001</v>
      </c>
      <c r="C38" s="801">
        <f>B38</f>
        <v>12213243.390000001</v>
      </c>
      <c r="D38" s="593">
        <f>-31593.64-2883538.02-2011069.33-204268.35+289543.23+36026.51+2437659.76+3495197.64+11092732</f>
        <v>12220689.800000001</v>
      </c>
      <c r="E38" s="15">
        <v>0</v>
      </c>
      <c r="F38" s="43"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</row>
    <row r="39" spans="1:231" ht="15" customHeight="1" x14ac:dyDescent="0.25">
      <c r="A39" s="23" t="s">
        <v>124</v>
      </c>
      <c r="B39" s="54">
        <f>SUM(B32:B38)</f>
        <v>19021378.07</v>
      </c>
      <c r="C39" s="54">
        <f>SUM(C32:C38)</f>
        <v>19021378.07</v>
      </c>
      <c r="D39" s="54">
        <f>SUM(D32:D38)</f>
        <v>19028824.48</v>
      </c>
      <c r="E39" s="54">
        <f>SUM(E32:E38)</f>
        <v>0</v>
      </c>
      <c r="F39" s="41">
        <f>SUM(F32:F38)</f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</row>
    <row r="40" spans="1:231" ht="15" customHeight="1" x14ac:dyDescent="0.25">
      <c r="A40" s="26"/>
      <c r="B40" s="755"/>
      <c r="C40" s="804"/>
      <c r="D40" s="755"/>
      <c r="E40" s="57"/>
      <c r="F40" s="45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</row>
    <row r="41" spans="1:231" ht="15" customHeight="1" x14ac:dyDescent="0.25">
      <c r="A41" s="21" t="s">
        <v>125</v>
      </c>
      <c r="B41" s="753">
        <v>0</v>
      </c>
      <c r="C41" s="306">
        <v>0</v>
      </c>
      <c r="D41" s="753">
        <v>0</v>
      </c>
      <c r="E41" s="12">
        <v>0</v>
      </c>
      <c r="F41" s="39"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</row>
    <row r="42" spans="1:231" ht="15" customHeight="1" x14ac:dyDescent="0.25">
      <c r="A42" s="27"/>
      <c r="B42" s="751"/>
      <c r="C42" s="800"/>
      <c r="D42" s="751"/>
      <c r="E42" s="56"/>
      <c r="F42" s="4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</row>
    <row r="43" spans="1:231" ht="15" customHeight="1" x14ac:dyDescent="0.25">
      <c r="A43" s="23" t="s">
        <v>126</v>
      </c>
      <c r="B43" s="54">
        <f>B20+B30+B39+B41</f>
        <v>21997670.780000001</v>
      </c>
      <c r="C43" s="54">
        <f>C20+C30+C39+C41</f>
        <v>21748057.25</v>
      </c>
      <c r="D43" s="54">
        <f>D20+D30+D39+D41</f>
        <v>22881855.02</v>
      </c>
      <c r="E43" s="54">
        <f>E20+E30+E39+E41</f>
        <v>0</v>
      </c>
      <c r="F43" s="41">
        <f>F20+F30+F39+F41</f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</row>
    <row r="44" spans="1:231" ht="15" customHeight="1" x14ac:dyDescent="0.25">
      <c r="A44" s="28"/>
      <c r="B44" s="754"/>
      <c r="C44" s="803"/>
      <c r="D44" s="754"/>
      <c r="E44" s="58"/>
      <c r="F44" s="46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</row>
    <row r="45" spans="1:231" ht="15" customHeight="1" x14ac:dyDescent="0.25">
      <c r="A45" s="21" t="s">
        <v>127</v>
      </c>
      <c r="B45" s="593"/>
      <c r="C45" s="801"/>
      <c r="D45" s="593"/>
      <c r="E45" s="15"/>
      <c r="F45" s="4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</row>
    <row r="46" spans="1:231" ht="15" customHeight="1" x14ac:dyDescent="0.25">
      <c r="A46" s="29"/>
      <c r="B46" s="593"/>
      <c r="C46" s="801"/>
      <c r="D46" s="593"/>
      <c r="E46" s="15"/>
      <c r="F46" s="4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</row>
    <row r="47" spans="1:231" ht="15" customHeight="1" x14ac:dyDescent="0.25">
      <c r="A47" s="21" t="s">
        <v>128</v>
      </c>
      <c r="B47" s="753"/>
      <c r="C47" s="306"/>
      <c r="D47" s="753"/>
      <c r="E47" s="12"/>
      <c r="F47" s="39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</row>
    <row r="48" spans="1:231" ht="15" customHeight="1" x14ac:dyDescent="0.25">
      <c r="A48" s="13" t="s">
        <v>129</v>
      </c>
      <c r="B48" s="593">
        <v>10017208.51</v>
      </c>
      <c r="C48" s="801">
        <v>10975959.09</v>
      </c>
      <c r="D48" s="593">
        <v>12864814.58</v>
      </c>
      <c r="E48" s="15">
        <v>0</v>
      </c>
      <c r="F48" s="43">
        <v>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</row>
    <row r="49" spans="1:231" ht="15" customHeight="1" x14ac:dyDescent="0.25">
      <c r="A49" s="16" t="s">
        <v>130</v>
      </c>
      <c r="B49" s="593">
        <v>0</v>
      </c>
      <c r="C49" s="801">
        <v>0</v>
      </c>
      <c r="D49" s="593">
        <v>0</v>
      </c>
      <c r="E49" s="15">
        <v>0</v>
      </c>
      <c r="F49" s="43">
        <v>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</row>
    <row r="50" spans="1:231" ht="15" customHeight="1" x14ac:dyDescent="0.25">
      <c r="A50" s="16" t="s">
        <v>131</v>
      </c>
      <c r="B50" s="593">
        <v>0</v>
      </c>
      <c r="C50" s="801">
        <v>0</v>
      </c>
      <c r="D50" s="593">
        <v>0</v>
      </c>
      <c r="E50" s="15">
        <v>0</v>
      </c>
      <c r="F50" s="43">
        <v>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</row>
    <row r="51" spans="1:231" ht="15" customHeight="1" x14ac:dyDescent="0.25">
      <c r="A51" s="16" t="s">
        <v>132</v>
      </c>
      <c r="B51" s="593">
        <v>0</v>
      </c>
      <c r="C51" s="801">
        <v>0</v>
      </c>
      <c r="D51" s="593">
        <v>0</v>
      </c>
      <c r="E51" s="15">
        <v>0</v>
      </c>
      <c r="F51" s="43">
        <v>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</row>
    <row r="52" spans="1:231" ht="15" customHeight="1" x14ac:dyDescent="0.25">
      <c r="A52" s="16" t="s">
        <v>133</v>
      </c>
      <c r="B52" s="593">
        <v>0</v>
      </c>
      <c r="C52" s="801">
        <v>0</v>
      </c>
      <c r="D52" s="593">
        <v>0</v>
      </c>
      <c r="E52" s="15">
        <v>0</v>
      </c>
      <c r="F52" s="43">
        <v>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</row>
    <row r="53" spans="1:231" ht="15" customHeight="1" x14ac:dyDescent="0.25">
      <c r="A53" s="16" t="s">
        <v>134</v>
      </c>
      <c r="B53" s="593">
        <v>0</v>
      </c>
      <c r="C53" s="801">
        <v>0</v>
      </c>
      <c r="D53" s="593">
        <v>0</v>
      </c>
      <c r="E53" s="15">
        <v>0</v>
      </c>
      <c r="F53" s="43">
        <v>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</row>
    <row r="54" spans="1:231" ht="15" customHeight="1" x14ac:dyDescent="0.25">
      <c r="A54" s="13" t="s">
        <v>135</v>
      </c>
      <c r="B54" s="593">
        <v>0</v>
      </c>
      <c r="C54" s="801">
        <v>0</v>
      </c>
      <c r="D54" s="593">
        <v>0</v>
      </c>
      <c r="E54" s="15">
        <v>0</v>
      </c>
      <c r="F54" s="43">
        <v>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</row>
    <row r="55" spans="1:231" ht="15" customHeight="1" x14ac:dyDescent="0.25">
      <c r="A55" s="13" t="s">
        <v>136</v>
      </c>
      <c r="B55" s="593">
        <v>0</v>
      </c>
      <c r="C55" s="801">
        <v>0</v>
      </c>
      <c r="D55" s="593">
        <v>0</v>
      </c>
      <c r="E55" s="15">
        <v>0</v>
      </c>
      <c r="F55" s="43">
        <v>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</row>
    <row r="56" spans="1:231" ht="15" customHeight="1" x14ac:dyDescent="0.25">
      <c r="A56" s="14" t="s">
        <v>137</v>
      </c>
      <c r="B56" s="751">
        <v>6306436.54</v>
      </c>
      <c r="C56" s="801">
        <f>B56</f>
        <v>6306436.54</v>
      </c>
      <c r="D56" s="593">
        <v>6306436.54</v>
      </c>
      <c r="E56" s="15">
        <v>0</v>
      </c>
      <c r="F56" s="43">
        <v>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</row>
    <row r="57" spans="1:231" ht="15" customHeight="1" x14ac:dyDescent="0.25">
      <c r="A57" s="23" t="s">
        <v>138</v>
      </c>
      <c r="B57" s="54">
        <f>SUM(B48:B56)</f>
        <v>16323645.050000001</v>
      </c>
      <c r="C57" s="54">
        <f>SUM(C48:C56)</f>
        <v>17282395.629999999</v>
      </c>
      <c r="D57" s="54">
        <f>SUM(D48:D56)</f>
        <v>19171251.120000001</v>
      </c>
      <c r="E57" s="54">
        <f>SUM(E48:E56)</f>
        <v>0</v>
      </c>
      <c r="F57" s="41">
        <f>SUM(F48:F56)</f>
        <v>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</row>
    <row r="58" spans="1:231" ht="15" customHeight="1" x14ac:dyDescent="0.25">
      <c r="A58" s="30"/>
      <c r="B58" s="42"/>
      <c r="C58" s="55"/>
      <c r="D58" s="42"/>
      <c r="E58" s="55"/>
      <c r="F58" s="4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</row>
    <row r="59" spans="1:231" ht="15" customHeight="1" x14ac:dyDescent="0.25">
      <c r="A59" s="21" t="s">
        <v>139</v>
      </c>
      <c r="B59" s="43"/>
      <c r="C59" s="15"/>
      <c r="D59" s="43"/>
      <c r="E59" s="15"/>
      <c r="F59" s="4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</row>
    <row r="60" spans="1:231" ht="15" customHeight="1" x14ac:dyDescent="0.25">
      <c r="A60" s="13" t="s">
        <v>170</v>
      </c>
      <c r="B60" s="43">
        <f>730265.12+5101778</f>
        <v>5832043.1200000001</v>
      </c>
      <c r="C60" s="15">
        <f>653113.83+5101778</f>
        <v>5754891.8300000001</v>
      </c>
      <c r="D60" s="43">
        <f>575102.63+5101778</f>
        <v>5676880.6299999999</v>
      </c>
      <c r="E60" s="15">
        <v>0</v>
      </c>
      <c r="F60" s="43">
        <v>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</row>
    <row r="61" spans="1:231" ht="15" customHeight="1" x14ac:dyDescent="0.25">
      <c r="A61" s="13" t="s">
        <v>44</v>
      </c>
      <c r="B61" s="43">
        <f>682569.65+1296.75+4772721.59</f>
        <v>5456587.9900000002</v>
      </c>
      <c r="C61" s="15">
        <f>594328.97+1296.75+4772721.59</f>
        <v>5368347.3099999996</v>
      </c>
      <c r="D61" s="43">
        <f>503165.39+1296.75+4772721.59</f>
        <v>5277183.7299999995</v>
      </c>
      <c r="E61" s="15">
        <v>0</v>
      </c>
      <c r="F61" s="43">
        <v>0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</row>
    <row r="62" spans="1:231" ht="15" customHeight="1" x14ac:dyDescent="0.25">
      <c r="A62" s="31"/>
      <c r="B62" s="751"/>
      <c r="C62" s="800"/>
      <c r="D62" s="751"/>
      <c r="E62" s="56"/>
      <c r="F62" s="4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</row>
    <row r="63" spans="1:231" ht="15" customHeight="1" x14ac:dyDescent="0.25">
      <c r="A63" s="23" t="s">
        <v>142</v>
      </c>
      <c r="B63" s="54">
        <f>SUM(B60:B62)</f>
        <v>11288631.109999999</v>
      </c>
      <c r="C63" s="54">
        <f>SUM(C60:C62)</f>
        <v>11123239.140000001</v>
      </c>
      <c r="D63" s="54">
        <f>SUM(D60:D62)</f>
        <v>10954064.359999999</v>
      </c>
      <c r="E63" s="54">
        <f>SUM(E60:E62)</f>
        <v>0</v>
      </c>
      <c r="F63" s="54">
        <f>SUM(F60:F62)</f>
        <v>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</row>
    <row r="64" spans="1:231" ht="15" customHeight="1" x14ac:dyDescent="0.25">
      <c r="A64" s="30"/>
      <c r="B64" s="752"/>
      <c r="C64" s="802"/>
      <c r="D64" s="752"/>
      <c r="E64" s="55"/>
      <c r="F64" s="4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</row>
    <row r="65" spans="1:231" ht="15" customHeight="1" x14ac:dyDescent="0.25">
      <c r="A65" s="21" t="s">
        <v>143</v>
      </c>
      <c r="B65" s="593"/>
      <c r="C65" s="801"/>
      <c r="D65" s="593"/>
      <c r="E65" s="15"/>
      <c r="F65" s="4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</row>
    <row r="66" spans="1:231" ht="15" customHeight="1" x14ac:dyDescent="0.25">
      <c r="A66" s="13" t="s">
        <v>144</v>
      </c>
      <c r="B66" s="593">
        <f>33497300.47-13551678.44</f>
        <v>19945622.030000001</v>
      </c>
      <c r="C66" s="801">
        <f>B66</f>
        <v>19945622.030000001</v>
      </c>
      <c r="D66" s="593">
        <f>C66</f>
        <v>19945622.030000001</v>
      </c>
      <c r="E66" s="15">
        <v>0</v>
      </c>
      <c r="F66" s="43">
        <v>0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</row>
    <row r="67" spans="1:231" ht="15" customHeight="1" x14ac:dyDescent="0.25">
      <c r="A67" s="13" t="s">
        <v>145</v>
      </c>
      <c r="B67" s="593">
        <v>0</v>
      </c>
      <c r="C67" s="801">
        <v>0</v>
      </c>
      <c r="D67" s="593">
        <v>0</v>
      </c>
      <c r="E67" s="15">
        <v>0</v>
      </c>
      <c r="F67" s="43">
        <v>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</row>
    <row r="68" spans="1:231" ht="15" customHeight="1" x14ac:dyDescent="0.25">
      <c r="A68" s="13" t="s">
        <v>146</v>
      </c>
      <c r="B68" s="593">
        <v>0</v>
      </c>
      <c r="C68" s="801">
        <v>0</v>
      </c>
      <c r="D68" s="593">
        <v>0</v>
      </c>
      <c r="E68" s="15">
        <v>0</v>
      </c>
      <c r="F68" s="43">
        <v>0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</row>
    <row r="69" spans="1:231" ht="15" customHeight="1" x14ac:dyDescent="0.25">
      <c r="A69" s="14" t="s">
        <v>147</v>
      </c>
      <c r="B69" s="751">
        <f>-25555294.2-1.7</f>
        <v>-25555295.899999999</v>
      </c>
      <c r="C69" s="800">
        <f>-25555294.2-1040327.9</f>
        <v>-26595622.099999998</v>
      </c>
      <c r="D69" s="751">
        <f>-25555294.2-1656834.51</f>
        <v>-27212128.710000001</v>
      </c>
      <c r="E69" s="56">
        <v>0</v>
      </c>
      <c r="F69" s="44">
        <v>0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</row>
    <row r="70" spans="1:231" ht="15" customHeight="1" x14ac:dyDescent="0.25">
      <c r="A70" s="23" t="s">
        <v>148</v>
      </c>
      <c r="B70" s="54">
        <f>SUM(B66:B69)</f>
        <v>-5609673.8699999973</v>
      </c>
      <c r="C70" s="54">
        <f>SUM(C66:C69)</f>
        <v>-6650000.0699999966</v>
      </c>
      <c r="D70" s="54">
        <f>SUM(D66:D69)</f>
        <v>-7266506.6799999997</v>
      </c>
      <c r="E70" s="54">
        <f>SUM(E66:E69)</f>
        <v>0</v>
      </c>
      <c r="F70" s="41">
        <f>SUM(F66:F69)</f>
        <v>0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</row>
    <row r="71" spans="1:231" ht="15.75" customHeight="1" x14ac:dyDescent="0.25">
      <c r="A71" s="32"/>
      <c r="B71" s="749"/>
      <c r="C71" s="799"/>
      <c r="D71" s="749"/>
      <c r="E71" s="59"/>
      <c r="F71" s="47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</row>
    <row r="72" spans="1:231" ht="16.5" customHeight="1" thickBot="1" x14ac:dyDescent="0.3">
      <c r="A72" s="33" t="s">
        <v>149</v>
      </c>
      <c r="B72" s="798">
        <f>B70+B63+B57</f>
        <v>22002602.290000003</v>
      </c>
      <c r="C72" s="798">
        <f>C70+C63+C57</f>
        <v>21755634.700000003</v>
      </c>
      <c r="D72" s="798">
        <f>D70+D63+D57</f>
        <v>22858808.800000001</v>
      </c>
      <c r="E72" s="798">
        <f>E70+E63+E57</f>
        <v>0</v>
      </c>
      <c r="F72" s="596">
        <f>F70+F63+F57</f>
        <v>0</v>
      </c>
      <c r="G72" s="2"/>
      <c r="H72" s="305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</row>
  </sheetData>
  <mergeCells count="6">
    <mergeCell ref="A7:F7"/>
    <mergeCell ref="A1:F1"/>
    <mergeCell ref="A3:F3"/>
    <mergeCell ref="A4:F4"/>
    <mergeCell ref="A5:F5"/>
    <mergeCell ref="A6:F6"/>
  </mergeCells>
  <pageMargins left="0.7" right="0.7" top="0.75" bottom="0.75" header="0.3" footer="0.3"/>
  <pageSetup paperSize="17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7"/>
  <sheetViews>
    <sheetView topLeftCell="A8" zoomScale="70" zoomScaleNormal="70" workbookViewId="0">
      <pane xSplit="1" ySplit="4" topLeftCell="J12" activePane="bottomRight" state="frozen"/>
      <selection pane="topRight" activeCell="B8" sqref="B8"/>
      <selection pane="bottomLeft" activeCell="A12" sqref="A12"/>
      <selection pane="bottomRight" activeCell="AE1" sqref="AE1:AE1048576"/>
    </sheetView>
  </sheetViews>
  <sheetFormatPr defaultRowHeight="15" x14ac:dyDescent="0.25"/>
  <cols>
    <col min="1" max="1" width="39.28515625" style="8" customWidth="1"/>
    <col min="2" max="2" width="14.140625" style="249" customWidth="1"/>
    <col min="3" max="3" width="15.42578125" style="620" bestFit="1" customWidth="1"/>
    <col min="4" max="4" width="13.140625" style="249" customWidth="1"/>
    <col min="5" max="5" width="13.85546875" style="249" bestFit="1" customWidth="1"/>
    <col min="6" max="6" width="1" style="249" customWidth="1"/>
    <col min="7" max="7" width="14.5703125" style="249" customWidth="1"/>
    <col min="8" max="8" width="15.42578125" style="249" bestFit="1" customWidth="1"/>
    <col min="9" max="9" width="14.28515625" style="249" customWidth="1"/>
    <col min="10" max="10" width="7.85546875" style="249" customWidth="1"/>
    <col min="11" max="11" width="1.140625" style="249" customWidth="1"/>
    <col min="12" max="12" width="14" style="249" hidden="1" customWidth="1"/>
    <col min="13" max="13" width="14.140625" style="249" hidden="1" customWidth="1"/>
    <col min="14" max="14" width="14.28515625" style="249" hidden="1" customWidth="1"/>
    <col min="15" max="15" width="6.85546875" style="249" hidden="1" customWidth="1"/>
    <col min="16" max="16" width="1" style="249" hidden="1" customWidth="1"/>
    <col min="17" max="17" width="13.85546875" style="249" hidden="1" customWidth="1"/>
    <col min="18" max="18" width="13.140625" style="249" hidden="1" customWidth="1"/>
    <col min="19" max="19" width="12.85546875" style="249" hidden="1" customWidth="1"/>
    <col min="20" max="20" width="7.5703125" style="249" hidden="1" customWidth="1"/>
    <col min="21" max="21" width="1.42578125" style="249" hidden="1" customWidth="1"/>
    <col min="22" max="22" width="14.42578125" style="249" customWidth="1"/>
    <col min="23" max="23" width="14.140625" style="249" customWidth="1"/>
    <col min="24" max="24" width="13" style="249" customWidth="1"/>
    <col min="25" max="25" width="7.42578125" style="249" customWidth="1"/>
    <col min="26" max="26" width="1" style="249" customWidth="1"/>
    <col min="27" max="27" width="23.42578125" style="249" customWidth="1"/>
    <col min="28" max="28" width="13.5703125" style="249" customWidth="1"/>
    <col min="29" max="29" width="7" style="249" customWidth="1"/>
    <col min="30" max="30" width="1" style="249" customWidth="1"/>
    <col min="31" max="31" width="27.7109375" style="249" hidden="1" customWidth="1"/>
    <col min="32" max="32" width="27.7109375" style="276" customWidth="1"/>
  </cols>
  <sheetData>
    <row r="1" spans="1:32" ht="18.75" x14ac:dyDescent="0.25">
      <c r="A1" s="839" t="s">
        <v>0</v>
      </c>
      <c r="B1" s="840"/>
      <c r="C1" s="840"/>
      <c r="D1" s="840"/>
      <c r="E1" s="840"/>
      <c r="F1" s="840"/>
      <c r="G1" s="840"/>
      <c r="H1" s="840"/>
      <c r="I1" s="737"/>
      <c r="J1" s="737"/>
      <c r="K1" s="737"/>
      <c r="L1" s="737"/>
      <c r="M1" s="737"/>
      <c r="N1" s="737"/>
      <c r="O1" s="737"/>
      <c r="P1" s="735"/>
      <c r="Q1" s="737"/>
      <c r="R1" s="736"/>
      <c r="S1" s="735"/>
      <c r="T1" s="736"/>
      <c r="U1" s="735"/>
      <c r="V1" s="735"/>
      <c r="W1" s="735"/>
      <c r="X1" s="735"/>
      <c r="Y1" s="735"/>
      <c r="Z1" s="735"/>
      <c r="AA1" s="735"/>
      <c r="AB1" s="735"/>
      <c r="AC1" s="735"/>
      <c r="AD1" s="735"/>
      <c r="AE1" s="734"/>
    </row>
    <row r="2" spans="1:32" ht="18.75" x14ac:dyDescent="0.25">
      <c r="A2" s="125"/>
      <c r="B2" s="731"/>
      <c r="C2" s="733"/>
      <c r="D2" s="731"/>
      <c r="E2" s="731"/>
      <c r="F2" s="731"/>
      <c r="G2" s="731"/>
      <c r="H2" s="731"/>
      <c r="I2" s="728"/>
      <c r="J2" s="728"/>
      <c r="K2" s="731"/>
      <c r="L2" s="728"/>
      <c r="M2" s="728"/>
      <c r="N2" s="728"/>
      <c r="O2" s="728"/>
      <c r="P2" s="731"/>
      <c r="Q2" s="728"/>
      <c r="R2" s="732"/>
      <c r="S2" s="302"/>
      <c r="T2" s="732"/>
      <c r="U2" s="731"/>
      <c r="V2" s="302"/>
      <c r="W2" s="302"/>
      <c r="X2" s="302"/>
      <c r="Y2" s="302"/>
      <c r="Z2" s="731"/>
      <c r="AA2" s="302"/>
      <c r="AB2" s="302"/>
      <c r="AC2" s="302"/>
      <c r="AD2" s="731"/>
      <c r="AE2" s="725"/>
    </row>
    <row r="3" spans="1:32" s="100" customFormat="1" ht="18.75" x14ac:dyDescent="0.25">
      <c r="A3" s="866" t="s">
        <v>150</v>
      </c>
      <c r="B3" s="867"/>
      <c r="C3" s="867"/>
      <c r="D3" s="867"/>
      <c r="E3" s="867"/>
      <c r="F3" s="867"/>
      <c r="G3" s="867"/>
      <c r="H3" s="867"/>
      <c r="I3" s="724"/>
      <c r="J3" s="724"/>
      <c r="K3" s="724"/>
      <c r="L3" s="724"/>
      <c r="M3" s="724"/>
      <c r="N3" s="724"/>
      <c r="O3" s="724"/>
      <c r="P3" s="717"/>
      <c r="Q3" s="724"/>
      <c r="R3" s="730"/>
      <c r="S3" s="717"/>
      <c r="T3" s="730"/>
      <c r="U3" s="717"/>
      <c r="V3" s="717"/>
      <c r="W3" s="717"/>
      <c r="X3" s="717"/>
      <c r="Y3" s="717"/>
      <c r="Z3" s="717"/>
      <c r="AA3" s="717"/>
      <c r="AB3" s="717"/>
      <c r="AC3" s="717"/>
      <c r="AD3" s="717"/>
      <c r="AE3" s="716"/>
      <c r="AF3" s="715"/>
    </row>
    <row r="4" spans="1:32" ht="18.75" x14ac:dyDescent="0.25">
      <c r="A4" s="843" t="s">
        <v>2</v>
      </c>
      <c r="B4" s="844"/>
      <c r="C4" s="844"/>
      <c r="D4" s="844"/>
      <c r="E4" s="844"/>
      <c r="F4" s="844"/>
      <c r="G4" s="844"/>
      <c r="H4" s="844"/>
      <c r="I4" s="729"/>
      <c r="J4" s="729"/>
      <c r="K4" s="727"/>
      <c r="L4" s="727"/>
      <c r="M4" s="727"/>
      <c r="N4" s="727"/>
      <c r="O4" s="727"/>
      <c r="P4" s="302"/>
      <c r="Q4" s="727"/>
      <c r="R4" s="726"/>
      <c r="S4" s="302"/>
      <c r="T4" s="726"/>
      <c r="U4" s="302"/>
      <c r="V4" s="302"/>
      <c r="W4" s="302"/>
      <c r="X4" s="302"/>
      <c r="Y4" s="302"/>
      <c r="Z4" s="302"/>
      <c r="AA4" s="302"/>
      <c r="AB4" s="710"/>
      <c r="AC4" s="302"/>
      <c r="AD4" s="302"/>
      <c r="AE4" s="725"/>
    </row>
    <row r="5" spans="1:32" ht="18.75" x14ac:dyDescent="0.25">
      <c r="A5" s="843" t="s">
        <v>3</v>
      </c>
      <c r="B5" s="845"/>
      <c r="C5" s="845"/>
      <c r="D5" s="845"/>
      <c r="E5" s="845"/>
      <c r="F5" s="845"/>
      <c r="G5" s="845"/>
      <c r="H5" s="845"/>
      <c r="I5" s="728"/>
      <c r="J5" s="728"/>
      <c r="K5" s="727"/>
      <c r="L5" s="727"/>
      <c r="M5" s="727"/>
      <c r="N5" s="727"/>
      <c r="O5" s="727"/>
      <c r="P5" s="302"/>
      <c r="Q5" s="727"/>
      <c r="R5" s="726"/>
      <c r="S5" s="302"/>
      <c r="T5" s="726"/>
      <c r="U5" s="302"/>
      <c r="V5" s="302"/>
      <c r="W5" s="302"/>
      <c r="X5" s="302"/>
      <c r="Y5" s="302"/>
      <c r="Z5" s="302"/>
      <c r="AA5" s="302"/>
      <c r="AB5" s="710"/>
      <c r="AC5" s="302"/>
      <c r="AD5" s="302"/>
      <c r="AE5" s="725"/>
    </row>
    <row r="6" spans="1:32" s="100" customFormat="1" ht="18.75" x14ac:dyDescent="0.25">
      <c r="A6" s="837" t="s">
        <v>4</v>
      </c>
      <c r="B6" s="846"/>
      <c r="C6" s="846"/>
      <c r="D6" s="846"/>
      <c r="E6" s="846"/>
      <c r="F6" s="846"/>
      <c r="G6" s="846"/>
      <c r="H6" s="846"/>
      <c r="I6" s="724"/>
      <c r="J6" s="724"/>
      <c r="K6" s="720"/>
      <c r="L6" s="720"/>
      <c r="M6" s="720"/>
      <c r="N6" s="720"/>
      <c r="O6" s="720"/>
      <c r="P6" s="717"/>
      <c r="Q6" s="720"/>
      <c r="R6" s="719"/>
      <c r="S6" s="717"/>
      <c r="T6" s="719"/>
      <c r="U6" s="717"/>
      <c r="V6" s="717"/>
      <c r="W6" s="717"/>
      <c r="X6" s="717"/>
      <c r="Y6" s="717"/>
      <c r="Z6" s="717"/>
      <c r="AA6" s="723"/>
      <c r="AB6" s="722"/>
      <c r="AC6" s="717"/>
      <c r="AD6" s="717"/>
      <c r="AE6" s="716"/>
      <c r="AF6" s="715"/>
    </row>
    <row r="7" spans="1:32" s="100" customFormat="1" ht="18.75" x14ac:dyDescent="0.25">
      <c r="A7" s="837" t="s">
        <v>5</v>
      </c>
      <c r="B7" s="838"/>
      <c r="C7" s="838"/>
      <c r="D7" s="838"/>
      <c r="E7" s="838"/>
      <c r="F7" s="838"/>
      <c r="G7" s="838"/>
      <c r="H7" s="838"/>
      <c r="I7" s="721"/>
      <c r="J7" s="721"/>
      <c r="K7" s="720"/>
      <c r="L7" s="720"/>
      <c r="M7" s="720"/>
      <c r="N7" s="720"/>
      <c r="O7" s="720"/>
      <c r="P7" s="717"/>
      <c r="Q7" s="720"/>
      <c r="R7" s="719"/>
      <c r="S7" s="717"/>
      <c r="T7" s="719"/>
      <c r="U7" s="717"/>
      <c r="V7" s="717"/>
      <c r="W7" s="717"/>
      <c r="X7" s="717"/>
      <c r="Y7" s="717"/>
      <c r="Z7" s="717"/>
      <c r="AA7" s="717"/>
      <c r="AB7" s="718"/>
      <c r="AC7" s="717"/>
      <c r="AD7" s="717"/>
      <c r="AE7" s="716"/>
      <c r="AF7" s="715"/>
    </row>
    <row r="8" spans="1:32" ht="27" thickBot="1" x14ac:dyDescent="0.3">
      <c r="A8" s="69"/>
      <c r="B8" s="714"/>
      <c r="C8" s="713"/>
      <c r="D8" s="302"/>
      <c r="E8" s="302"/>
      <c r="F8" s="709"/>
      <c r="G8" s="302"/>
      <c r="H8" s="302"/>
      <c r="I8" s="302"/>
      <c r="J8" s="302"/>
      <c r="K8" s="709"/>
      <c r="L8" s="302"/>
      <c r="M8" s="302"/>
      <c r="N8" s="302"/>
      <c r="O8" s="302"/>
      <c r="P8" s="709"/>
      <c r="Q8" s="302"/>
      <c r="R8" s="302"/>
      <c r="S8" s="712"/>
      <c r="T8" s="302"/>
      <c r="U8" s="709"/>
      <c r="V8" s="302"/>
      <c r="W8" s="302"/>
      <c r="X8" s="302"/>
      <c r="Y8" s="302"/>
      <c r="Z8" s="709"/>
      <c r="AA8" s="711"/>
      <c r="AB8" s="710"/>
      <c r="AC8" s="302"/>
      <c r="AD8" s="709"/>
      <c r="AE8" s="708"/>
    </row>
    <row r="9" spans="1:32" ht="15.75" x14ac:dyDescent="0.25">
      <c r="A9" s="140"/>
      <c r="B9" s="873" t="s">
        <v>6</v>
      </c>
      <c r="C9" s="874"/>
      <c r="D9" s="874"/>
      <c r="E9" s="875"/>
      <c r="F9" s="707"/>
      <c r="G9" s="873" t="s">
        <v>7</v>
      </c>
      <c r="H9" s="874"/>
      <c r="I9" s="874"/>
      <c r="J9" s="875"/>
      <c r="K9" s="707"/>
      <c r="L9" s="876" t="s">
        <v>8</v>
      </c>
      <c r="M9" s="877"/>
      <c r="N9" s="877"/>
      <c r="O9" s="878"/>
      <c r="P9" s="707"/>
      <c r="Q9" s="873" t="s">
        <v>9</v>
      </c>
      <c r="R9" s="874"/>
      <c r="S9" s="874"/>
      <c r="T9" s="875"/>
      <c r="U9" s="707"/>
      <c r="V9" s="876" t="s">
        <v>10</v>
      </c>
      <c r="W9" s="877"/>
      <c r="X9" s="877"/>
      <c r="Y9" s="878"/>
      <c r="Z9" s="707"/>
      <c r="AA9" s="876" t="s">
        <v>11</v>
      </c>
      <c r="AB9" s="877"/>
      <c r="AC9" s="878"/>
      <c r="AD9" s="706"/>
      <c r="AE9" s="868" t="s">
        <v>12</v>
      </c>
    </row>
    <row r="10" spans="1:32" ht="15.75" x14ac:dyDescent="0.25">
      <c r="A10" s="141" t="s">
        <v>13</v>
      </c>
      <c r="B10" s="704" t="s">
        <v>14</v>
      </c>
      <c r="C10" s="705" t="s">
        <v>15</v>
      </c>
      <c r="D10" s="871" t="s">
        <v>16</v>
      </c>
      <c r="E10" s="872"/>
      <c r="F10" s="702"/>
      <c r="G10" s="704" t="s">
        <v>14</v>
      </c>
      <c r="H10" s="703" t="s">
        <v>15</v>
      </c>
      <c r="I10" s="871" t="s">
        <v>16</v>
      </c>
      <c r="J10" s="872"/>
      <c r="K10" s="702"/>
      <c r="L10" s="704" t="s">
        <v>14</v>
      </c>
      <c r="M10" s="703" t="s">
        <v>15</v>
      </c>
      <c r="N10" s="871" t="s">
        <v>16</v>
      </c>
      <c r="O10" s="872"/>
      <c r="P10" s="702"/>
      <c r="Q10" s="704" t="s">
        <v>14</v>
      </c>
      <c r="R10" s="703" t="s">
        <v>15</v>
      </c>
      <c r="S10" s="871" t="s">
        <v>16</v>
      </c>
      <c r="T10" s="872"/>
      <c r="U10" s="702"/>
      <c r="V10" s="704" t="s">
        <v>14</v>
      </c>
      <c r="W10" s="703" t="s">
        <v>15</v>
      </c>
      <c r="X10" s="871" t="s">
        <v>16</v>
      </c>
      <c r="Y10" s="872"/>
      <c r="Z10" s="702"/>
      <c r="AA10" s="701" t="s">
        <v>17</v>
      </c>
      <c r="AB10" s="871" t="s">
        <v>18</v>
      </c>
      <c r="AC10" s="872"/>
      <c r="AD10" s="700"/>
      <c r="AE10" s="869"/>
    </row>
    <row r="11" spans="1:32" ht="16.5" thickBot="1" x14ac:dyDescent="0.3">
      <c r="A11" s="142"/>
      <c r="B11" s="699" t="s">
        <v>19</v>
      </c>
      <c r="C11" s="698" t="s">
        <v>19</v>
      </c>
      <c r="D11" s="697" t="s">
        <v>19</v>
      </c>
      <c r="E11" s="696" t="s">
        <v>20</v>
      </c>
      <c r="F11" s="694"/>
      <c r="G11" s="693" t="s">
        <v>19</v>
      </c>
      <c r="H11" s="695" t="s">
        <v>19</v>
      </c>
      <c r="I11" s="692" t="s">
        <v>19</v>
      </c>
      <c r="J11" s="691" t="s">
        <v>20</v>
      </c>
      <c r="K11" s="694"/>
      <c r="L11" s="693" t="s">
        <v>19</v>
      </c>
      <c r="M11" s="695" t="s">
        <v>19</v>
      </c>
      <c r="N11" s="692" t="s">
        <v>19</v>
      </c>
      <c r="O11" s="691" t="s">
        <v>20</v>
      </c>
      <c r="P11" s="694"/>
      <c r="Q11" s="693" t="s">
        <v>19</v>
      </c>
      <c r="R11" s="695" t="s">
        <v>19</v>
      </c>
      <c r="S11" s="692" t="s">
        <v>19</v>
      </c>
      <c r="T11" s="691" t="s">
        <v>20</v>
      </c>
      <c r="U11" s="694"/>
      <c r="V11" s="693" t="s">
        <v>19</v>
      </c>
      <c r="W11" s="695" t="s">
        <v>19</v>
      </c>
      <c r="X11" s="692" t="s">
        <v>19</v>
      </c>
      <c r="Y11" s="691" t="s">
        <v>20</v>
      </c>
      <c r="Z11" s="694"/>
      <c r="AA11" s="693" t="s">
        <v>19</v>
      </c>
      <c r="AB11" s="692" t="s">
        <v>19</v>
      </c>
      <c r="AC11" s="691" t="s">
        <v>20</v>
      </c>
      <c r="AD11" s="690"/>
      <c r="AE11" s="870"/>
    </row>
    <row r="12" spans="1:32" ht="15.75" x14ac:dyDescent="0.25">
      <c r="A12" s="143" t="s">
        <v>21</v>
      </c>
      <c r="B12" s="689"/>
      <c r="C12" s="688"/>
      <c r="D12" s="687"/>
      <c r="E12" s="686"/>
      <c r="F12" s="297"/>
      <c r="G12" s="673"/>
      <c r="H12" s="672"/>
      <c r="I12" s="672"/>
      <c r="J12" s="671"/>
      <c r="K12" s="297"/>
      <c r="L12" s="673"/>
      <c r="M12" s="672"/>
      <c r="N12" s="672"/>
      <c r="O12" s="671"/>
      <c r="P12" s="297"/>
      <c r="Q12" s="673"/>
      <c r="R12" s="672"/>
      <c r="S12" s="672"/>
      <c r="T12" s="671"/>
      <c r="U12" s="297"/>
      <c r="V12" s="673"/>
      <c r="W12" s="672"/>
      <c r="X12" s="672"/>
      <c r="Y12" s="671"/>
      <c r="Z12" s="297"/>
      <c r="AA12" s="673"/>
      <c r="AB12" s="672"/>
      <c r="AC12" s="671"/>
      <c r="AD12" s="644"/>
      <c r="AE12" s="685"/>
    </row>
    <row r="13" spans="1:32" ht="15.75" x14ac:dyDescent="0.25">
      <c r="A13" s="144" t="s">
        <v>151</v>
      </c>
      <c r="B13" s="654">
        <v>3782132</v>
      </c>
      <c r="C13" s="637">
        <v>3294972</v>
      </c>
      <c r="D13" s="280">
        <f t="shared" ref="D13:D22" si="0">C13-B13</f>
        <v>-487160</v>
      </c>
      <c r="E13" s="279">
        <f t="shared" ref="E13:E23" si="1">IF(ISERROR(D13/B13),"-",D13/B13)</f>
        <v>-0.12880565776128386</v>
      </c>
      <c r="F13" s="663"/>
      <c r="G13" s="654">
        <v>1462196</v>
      </c>
      <c r="H13" s="653">
        <v>764271</v>
      </c>
      <c r="I13" s="280">
        <f t="shared" ref="I13:I19" si="2">H13-G13</f>
        <v>-697925</v>
      </c>
      <c r="J13" s="279">
        <f t="shared" ref="J13:J23" si="3">IF(ISERROR(I13/G13),"-",I13/G13)</f>
        <v>-0.47731289102144991</v>
      </c>
      <c r="K13" s="663"/>
      <c r="L13" s="654"/>
      <c r="M13" s="653"/>
      <c r="N13" s="280"/>
      <c r="O13" s="279"/>
      <c r="P13" s="663"/>
      <c r="Q13" s="654">
        <v>0</v>
      </c>
      <c r="R13" s="653">
        <v>0</v>
      </c>
      <c r="S13" s="280">
        <f t="shared" ref="S13:S22" si="4">R13-Q13</f>
        <v>0</v>
      </c>
      <c r="T13" s="279" t="str">
        <f t="shared" ref="T13:T27" si="5">IF(ISERROR(S13/Q13),"-",S13/Q13)</f>
        <v>-</v>
      </c>
      <c r="U13" s="663"/>
      <c r="V13" s="281">
        <f t="shared" ref="V13:V22" si="6">B13+G13+L13+Q13</f>
        <v>5244328</v>
      </c>
      <c r="W13" s="280">
        <f t="shared" ref="W13:W22" si="7">C13+H13+M13+R13</f>
        <v>4059243</v>
      </c>
      <c r="X13" s="280">
        <f t="shared" ref="X13:X22" si="8">W13-V13</f>
        <v>-1185085</v>
      </c>
      <c r="Y13" s="279">
        <f t="shared" ref="Y13:Y23" si="9">IF(ISERROR(X13/V13),"-",X13/V13)</f>
        <v>-0.22597461486009265</v>
      </c>
      <c r="Z13" s="663"/>
      <c r="AA13" s="281">
        <f t="shared" ref="AA13:AA22" si="10">+Q13+L13+G13+B13</f>
        <v>5244328</v>
      </c>
      <c r="AB13" s="280">
        <f t="shared" ref="AB13:AB22" si="11">AA13-W13</f>
        <v>1185085</v>
      </c>
      <c r="AC13" s="279">
        <f t="shared" ref="AC13:AC23" si="12">IF(ISERROR(AB13/AA13),"-",AB13/AA13)</f>
        <v>0.22597461486009265</v>
      </c>
      <c r="AD13" s="661"/>
      <c r="AE13" s="323"/>
      <c r="AF13" s="655"/>
    </row>
    <row r="14" spans="1:32" ht="15.75" x14ac:dyDescent="0.25">
      <c r="A14" s="145" t="s">
        <v>152</v>
      </c>
      <c r="B14" s="654"/>
      <c r="C14" s="637"/>
      <c r="D14" s="280">
        <f t="shared" si="0"/>
        <v>0</v>
      </c>
      <c r="E14" s="279" t="str">
        <f t="shared" si="1"/>
        <v>-</v>
      </c>
      <c r="F14" s="287"/>
      <c r="G14" s="654"/>
      <c r="H14" s="653"/>
      <c r="I14" s="280">
        <f t="shared" si="2"/>
        <v>0</v>
      </c>
      <c r="J14" s="279" t="str">
        <f t="shared" si="3"/>
        <v>-</v>
      </c>
      <c r="K14" s="287"/>
      <c r="L14" s="654"/>
      <c r="M14" s="653"/>
      <c r="N14" s="280"/>
      <c r="O14" s="279"/>
      <c r="P14" s="287"/>
      <c r="Q14" s="654">
        <v>0</v>
      </c>
      <c r="R14" s="653">
        <v>0</v>
      </c>
      <c r="S14" s="280">
        <f t="shared" si="4"/>
        <v>0</v>
      </c>
      <c r="T14" s="279" t="str">
        <f t="shared" si="5"/>
        <v>-</v>
      </c>
      <c r="U14" s="287"/>
      <c r="V14" s="281">
        <f t="shared" si="6"/>
        <v>0</v>
      </c>
      <c r="W14" s="280">
        <f t="shared" si="7"/>
        <v>0</v>
      </c>
      <c r="X14" s="280">
        <f t="shared" si="8"/>
        <v>0</v>
      </c>
      <c r="Y14" s="279" t="str">
        <f t="shared" si="9"/>
        <v>-</v>
      </c>
      <c r="Z14" s="287"/>
      <c r="AA14" s="281">
        <f t="shared" si="10"/>
        <v>0</v>
      </c>
      <c r="AB14" s="280">
        <f t="shared" si="11"/>
        <v>0</v>
      </c>
      <c r="AC14" s="279" t="str">
        <f t="shared" si="12"/>
        <v>-</v>
      </c>
      <c r="AD14" s="286"/>
      <c r="AE14" s="277"/>
    </row>
    <row r="15" spans="1:32" ht="15.75" x14ac:dyDescent="0.25">
      <c r="A15" s="145" t="s">
        <v>24</v>
      </c>
      <c r="B15" s="654">
        <v>0</v>
      </c>
      <c r="C15" s="637">
        <v>0</v>
      </c>
      <c r="D15" s="280">
        <f t="shared" si="0"/>
        <v>0</v>
      </c>
      <c r="E15" s="325" t="str">
        <f t="shared" si="1"/>
        <v>-</v>
      </c>
      <c r="F15" s="663"/>
      <c r="G15" s="654">
        <v>0</v>
      </c>
      <c r="H15" s="653">
        <v>0</v>
      </c>
      <c r="I15" s="280">
        <f t="shared" si="2"/>
        <v>0</v>
      </c>
      <c r="J15" s="325" t="str">
        <f t="shared" si="3"/>
        <v>-</v>
      </c>
      <c r="K15" s="663"/>
      <c r="L15" s="654"/>
      <c r="M15" s="653"/>
      <c r="N15" s="280"/>
      <c r="O15" s="279"/>
      <c r="P15" s="663"/>
      <c r="Q15" s="654">
        <v>0</v>
      </c>
      <c r="R15" s="653">
        <v>0</v>
      </c>
      <c r="S15" s="280">
        <f t="shared" si="4"/>
        <v>0</v>
      </c>
      <c r="T15" s="325" t="str">
        <f t="shared" si="5"/>
        <v>-</v>
      </c>
      <c r="U15" s="663"/>
      <c r="V15" s="281">
        <f t="shared" si="6"/>
        <v>0</v>
      </c>
      <c r="W15" s="280">
        <f t="shared" si="7"/>
        <v>0</v>
      </c>
      <c r="X15" s="280">
        <f t="shared" si="8"/>
        <v>0</v>
      </c>
      <c r="Y15" s="325" t="str">
        <f t="shared" si="9"/>
        <v>-</v>
      </c>
      <c r="Z15" s="663"/>
      <c r="AA15" s="281">
        <f t="shared" si="10"/>
        <v>0</v>
      </c>
      <c r="AB15" s="280">
        <f t="shared" si="11"/>
        <v>0</v>
      </c>
      <c r="AC15" s="325" t="str">
        <f t="shared" si="12"/>
        <v>-</v>
      </c>
      <c r="AD15" s="661"/>
      <c r="AE15" s="323"/>
    </row>
    <row r="16" spans="1:32" ht="15.75" x14ac:dyDescent="0.25">
      <c r="A16" s="145" t="s">
        <v>25</v>
      </c>
      <c r="B16" s="654">
        <v>135102</v>
      </c>
      <c r="C16" s="637">
        <v>80678</v>
      </c>
      <c r="D16" s="280">
        <f t="shared" si="0"/>
        <v>-54424</v>
      </c>
      <c r="E16" s="279">
        <f t="shared" si="1"/>
        <v>-0.40283637547926754</v>
      </c>
      <c r="F16" s="663"/>
      <c r="G16" s="654">
        <v>77735.22</v>
      </c>
      <c r="H16" s="653">
        <v>76840.53</v>
      </c>
      <c r="I16" s="280">
        <f t="shared" si="2"/>
        <v>-894.69000000000233</v>
      </c>
      <c r="J16" s="279">
        <f t="shared" si="3"/>
        <v>-1.1509454787675424E-2</v>
      </c>
      <c r="K16" s="663"/>
      <c r="L16" s="654"/>
      <c r="M16" s="653"/>
      <c r="N16" s="280"/>
      <c r="O16" s="279"/>
      <c r="P16" s="663"/>
      <c r="Q16" s="654">
        <v>0</v>
      </c>
      <c r="R16" s="653">
        <v>0</v>
      </c>
      <c r="S16" s="280">
        <f t="shared" si="4"/>
        <v>0</v>
      </c>
      <c r="T16" s="279" t="str">
        <f t="shared" si="5"/>
        <v>-</v>
      </c>
      <c r="U16" s="663"/>
      <c r="V16" s="281">
        <f t="shared" si="6"/>
        <v>212837.22</v>
      </c>
      <c r="W16" s="280">
        <f t="shared" si="7"/>
        <v>157518.53</v>
      </c>
      <c r="X16" s="280">
        <f t="shared" si="8"/>
        <v>-55318.69</v>
      </c>
      <c r="Y16" s="279">
        <f t="shared" si="9"/>
        <v>-0.25991079003944895</v>
      </c>
      <c r="Z16" s="663"/>
      <c r="AA16" s="281">
        <f t="shared" si="10"/>
        <v>212837.22</v>
      </c>
      <c r="AB16" s="280">
        <f t="shared" si="11"/>
        <v>55318.69</v>
      </c>
      <c r="AC16" s="279">
        <f t="shared" si="12"/>
        <v>0.25991079003944895</v>
      </c>
      <c r="AD16" s="661"/>
      <c r="AE16" s="323"/>
    </row>
    <row r="17" spans="1:31" ht="15.75" x14ac:dyDescent="0.25">
      <c r="A17" s="145" t="s">
        <v>26</v>
      </c>
      <c r="B17" s="654">
        <v>292434</v>
      </c>
      <c r="C17" s="637">
        <v>261926</v>
      </c>
      <c r="D17" s="280">
        <f t="shared" si="0"/>
        <v>-30508</v>
      </c>
      <c r="E17" s="279">
        <f t="shared" si="1"/>
        <v>-0.10432439456424356</v>
      </c>
      <c r="F17" s="663"/>
      <c r="G17" s="654">
        <v>78560.22</v>
      </c>
      <c r="H17" s="653">
        <v>4028.47</v>
      </c>
      <c r="I17" s="280">
        <f t="shared" si="2"/>
        <v>-74531.75</v>
      </c>
      <c r="J17" s="279">
        <f t="shared" si="3"/>
        <v>-0.94872124848937545</v>
      </c>
      <c r="K17" s="663"/>
      <c r="L17" s="654"/>
      <c r="M17" s="653"/>
      <c r="N17" s="280"/>
      <c r="O17" s="279"/>
      <c r="P17" s="663"/>
      <c r="Q17" s="654">
        <v>0</v>
      </c>
      <c r="R17" s="653">
        <v>0</v>
      </c>
      <c r="S17" s="280">
        <f t="shared" si="4"/>
        <v>0</v>
      </c>
      <c r="T17" s="279" t="str">
        <f t="shared" si="5"/>
        <v>-</v>
      </c>
      <c r="U17" s="663"/>
      <c r="V17" s="281">
        <f t="shared" si="6"/>
        <v>370994.22</v>
      </c>
      <c r="W17" s="280">
        <f t="shared" si="7"/>
        <v>265954.46999999997</v>
      </c>
      <c r="X17" s="280">
        <f t="shared" si="8"/>
        <v>-105039.75</v>
      </c>
      <c r="Y17" s="279">
        <f t="shared" si="9"/>
        <v>-0.28313042181627524</v>
      </c>
      <c r="Z17" s="663"/>
      <c r="AA17" s="281">
        <f t="shared" si="10"/>
        <v>370994.22</v>
      </c>
      <c r="AB17" s="280">
        <f t="shared" si="11"/>
        <v>105039.75</v>
      </c>
      <c r="AC17" s="279">
        <f t="shared" si="12"/>
        <v>0.28313042181627524</v>
      </c>
      <c r="AD17" s="661"/>
      <c r="AE17" s="277"/>
    </row>
    <row r="18" spans="1:31" ht="15.75" x14ac:dyDescent="0.25">
      <c r="A18" s="145" t="s">
        <v>27</v>
      </c>
      <c r="B18" s="654">
        <v>0</v>
      </c>
      <c r="C18" s="637">
        <v>0</v>
      </c>
      <c r="D18" s="280">
        <f t="shared" si="0"/>
        <v>0</v>
      </c>
      <c r="E18" s="325" t="str">
        <f t="shared" si="1"/>
        <v>-</v>
      </c>
      <c r="F18" s="663"/>
      <c r="G18" s="654"/>
      <c r="H18" s="653"/>
      <c r="I18" s="280">
        <f t="shared" si="2"/>
        <v>0</v>
      </c>
      <c r="J18" s="279" t="str">
        <f t="shared" si="3"/>
        <v>-</v>
      </c>
      <c r="K18" s="663"/>
      <c r="L18" s="654"/>
      <c r="M18" s="653"/>
      <c r="N18" s="280"/>
      <c r="O18" s="325"/>
      <c r="P18" s="663"/>
      <c r="Q18" s="654">
        <v>0</v>
      </c>
      <c r="R18" s="653">
        <v>0</v>
      </c>
      <c r="S18" s="280">
        <f t="shared" si="4"/>
        <v>0</v>
      </c>
      <c r="T18" s="325" t="str">
        <f t="shared" si="5"/>
        <v>-</v>
      </c>
      <c r="U18" s="663"/>
      <c r="V18" s="281">
        <f t="shared" si="6"/>
        <v>0</v>
      </c>
      <c r="W18" s="280">
        <f t="shared" si="7"/>
        <v>0</v>
      </c>
      <c r="X18" s="280">
        <f t="shared" si="8"/>
        <v>0</v>
      </c>
      <c r="Y18" s="325" t="str">
        <f t="shared" si="9"/>
        <v>-</v>
      </c>
      <c r="Z18" s="663"/>
      <c r="AA18" s="281">
        <f t="shared" si="10"/>
        <v>0</v>
      </c>
      <c r="AB18" s="280">
        <f t="shared" si="11"/>
        <v>0</v>
      </c>
      <c r="AC18" s="279" t="str">
        <f t="shared" si="12"/>
        <v>-</v>
      </c>
      <c r="AD18" s="661"/>
      <c r="AE18" s="323"/>
    </row>
    <row r="19" spans="1:31" ht="15.75" x14ac:dyDescent="0.25">
      <c r="A19" s="145" t="s">
        <v>153</v>
      </c>
      <c r="B19" s="654">
        <v>0</v>
      </c>
      <c r="C19" s="637">
        <v>0</v>
      </c>
      <c r="D19" s="280">
        <f t="shared" si="0"/>
        <v>0</v>
      </c>
      <c r="E19" s="325" t="str">
        <f t="shared" si="1"/>
        <v>-</v>
      </c>
      <c r="F19" s="663"/>
      <c r="G19" s="654">
        <v>3000000</v>
      </c>
      <c r="H19" s="280">
        <v>1379458.12</v>
      </c>
      <c r="I19" s="280">
        <f t="shared" si="2"/>
        <v>-1620541.88</v>
      </c>
      <c r="J19" s="279">
        <f t="shared" si="3"/>
        <v>-0.54018062666666666</v>
      </c>
      <c r="K19" s="663"/>
      <c r="L19" s="654"/>
      <c r="M19" s="653"/>
      <c r="N19" s="280"/>
      <c r="O19" s="325"/>
      <c r="P19" s="663"/>
      <c r="Q19" s="654">
        <v>0</v>
      </c>
      <c r="R19" s="653">
        <v>0</v>
      </c>
      <c r="S19" s="280">
        <f t="shared" si="4"/>
        <v>0</v>
      </c>
      <c r="T19" s="325" t="str">
        <f t="shared" si="5"/>
        <v>-</v>
      </c>
      <c r="U19" s="663"/>
      <c r="V19" s="281">
        <f t="shared" si="6"/>
        <v>3000000</v>
      </c>
      <c r="W19" s="280">
        <f t="shared" si="7"/>
        <v>1379458.12</v>
      </c>
      <c r="X19" s="280">
        <f t="shared" si="8"/>
        <v>-1620541.88</v>
      </c>
      <c r="Y19" s="325">
        <f t="shared" si="9"/>
        <v>-0.54018062666666666</v>
      </c>
      <c r="Z19" s="663"/>
      <c r="AA19" s="281">
        <f t="shared" si="10"/>
        <v>3000000</v>
      </c>
      <c r="AB19" s="280">
        <f t="shared" si="11"/>
        <v>1620541.88</v>
      </c>
      <c r="AC19" s="279">
        <f t="shared" si="12"/>
        <v>0.54018062666666666</v>
      </c>
      <c r="AD19" s="661"/>
      <c r="AE19" s="323"/>
    </row>
    <row r="20" spans="1:31" ht="15.75" x14ac:dyDescent="0.25">
      <c r="A20" s="145" t="s">
        <v>29</v>
      </c>
      <c r="B20" s="654">
        <v>0</v>
      </c>
      <c r="C20" s="637">
        <v>0</v>
      </c>
      <c r="D20" s="280">
        <f t="shared" si="0"/>
        <v>0</v>
      </c>
      <c r="E20" s="325" t="str">
        <f t="shared" si="1"/>
        <v>-</v>
      </c>
      <c r="F20" s="663"/>
      <c r="G20" s="654">
        <v>0</v>
      </c>
      <c r="H20" s="653">
        <v>0</v>
      </c>
      <c r="I20" s="280">
        <f>H20-G20</f>
        <v>0</v>
      </c>
      <c r="J20" s="279" t="str">
        <f t="shared" si="3"/>
        <v>-</v>
      </c>
      <c r="K20" s="663"/>
      <c r="L20" s="654"/>
      <c r="M20" s="653"/>
      <c r="N20" s="280"/>
      <c r="O20" s="325"/>
      <c r="P20" s="663"/>
      <c r="Q20" s="654">
        <v>0</v>
      </c>
      <c r="R20" s="653">
        <v>0</v>
      </c>
      <c r="S20" s="280">
        <f t="shared" si="4"/>
        <v>0</v>
      </c>
      <c r="T20" s="325" t="str">
        <f t="shared" si="5"/>
        <v>-</v>
      </c>
      <c r="U20" s="663"/>
      <c r="V20" s="281">
        <f t="shared" si="6"/>
        <v>0</v>
      </c>
      <c r="W20" s="280">
        <f t="shared" si="7"/>
        <v>0</v>
      </c>
      <c r="X20" s="280">
        <f t="shared" si="8"/>
        <v>0</v>
      </c>
      <c r="Y20" s="325" t="str">
        <f t="shared" si="9"/>
        <v>-</v>
      </c>
      <c r="Z20" s="663"/>
      <c r="AA20" s="281">
        <f t="shared" si="10"/>
        <v>0</v>
      </c>
      <c r="AB20" s="280">
        <f t="shared" si="11"/>
        <v>0</v>
      </c>
      <c r="AC20" s="279" t="str">
        <f t="shared" si="12"/>
        <v>-</v>
      </c>
      <c r="AD20" s="661"/>
      <c r="AE20" s="323"/>
    </row>
    <row r="21" spans="1:31" ht="15.75" x14ac:dyDescent="0.25">
      <c r="A21" s="145" t="s">
        <v>30</v>
      </c>
      <c r="B21" s="654">
        <v>0</v>
      </c>
      <c r="C21" s="637">
        <v>0</v>
      </c>
      <c r="D21" s="280">
        <f t="shared" si="0"/>
        <v>0</v>
      </c>
      <c r="E21" s="325" t="str">
        <f t="shared" si="1"/>
        <v>-</v>
      </c>
      <c r="F21" s="663"/>
      <c r="G21" s="654">
        <v>0</v>
      </c>
      <c r="H21" s="653">
        <v>0</v>
      </c>
      <c r="I21" s="280">
        <f>H21-G21</f>
        <v>0</v>
      </c>
      <c r="J21" s="279" t="str">
        <f t="shared" si="3"/>
        <v>-</v>
      </c>
      <c r="K21" s="663"/>
      <c r="L21" s="654"/>
      <c r="M21" s="653"/>
      <c r="N21" s="280"/>
      <c r="O21" s="325"/>
      <c r="P21" s="663"/>
      <c r="Q21" s="654">
        <v>0</v>
      </c>
      <c r="R21" s="653">
        <v>0</v>
      </c>
      <c r="S21" s="280">
        <f t="shared" si="4"/>
        <v>0</v>
      </c>
      <c r="T21" s="325" t="str">
        <f t="shared" si="5"/>
        <v>-</v>
      </c>
      <c r="U21" s="663"/>
      <c r="V21" s="281">
        <f t="shared" si="6"/>
        <v>0</v>
      </c>
      <c r="W21" s="280">
        <f t="shared" si="7"/>
        <v>0</v>
      </c>
      <c r="X21" s="280">
        <f t="shared" si="8"/>
        <v>0</v>
      </c>
      <c r="Y21" s="325" t="str">
        <f t="shared" si="9"/>
        <v>-</v>
      </c>
      <c r="Z21" s="663"/>
      <c r="AA21" s="281">
        <f t="shared" si="10"/>
        <v>0</v>
      </c>
      <c r="AB21" s="280">
        <f t="shared" si="11"/>
        <v>0</v>
      </c>
      <c r="AC21" s="325" t="str">
        <f t="shared" si="12"/>
        <v>-</v>
      </c>
      <c r="AD21" s="661"/>
      <c r="AE21" s="323"/>
    </row>
    <row r="22" spans="1:31" ht="15.75" x14ac:dyDescent="0.25">
      <c r="A22" s="145" t="s">
        <v>31</v>
      </c>
      <c r="B22" s="654">
        <v>0</v>
      </c>
      <c r="C22" s="637">
        <v>0</v>
      </c>
      <c r="D22" s="280">
        <f t="shared" si="0"/>
        <v>0</v>
      </c>
      <c r="E22" s="649" t="str">
        <f t="shared" si="1"/>
        <v>-</v>
      </c>
      <c r="F22" s="663"/>
      <c r="G22" s="684"/>
      <c r="H22" s="683"/>
      <c r="I22" s="650">
        <f>H22-G22</f>
        <v>0</v>
      </c>
      <c r="J22" s="649" t="str">
        <f t="shared" si="3"/>
        <v>-</v>
      </c>
      <c r="K22" s="663"/>
      <c r="L22" s="684"/>
      <c r="M22" s="683"/>
      <c r="N22" s="650"/>
      <c r="O22" s="649"/>
      <c r="P22" s="663"/>
      <c r="Q22" s="684"/>
      <c r="R22" s="683"/>
      <c r="S22" s="650">
        <f t="shared" si="4"/>
        <v>0</v>
      </c>
      <c r="T22" s="649" t="str">
        <f t="shared" si="5"/>
        <v>-</v>
      </c>
      <c r="U22" s="663"/>
      <c r="V22" s="651">
        <f t="shared" si="6"/>
        <v>0</v>
      </c>
      <c r="W22" s="650">
        <f t="shared" si="7"/>
        <v>0</v>
      </c>
      <c r="X22" s="650">
        <f t="shared" si="8"/>
        <v>0</v>
      </c>
      <c r="Y22" s="649" t="str">
        <f t="shared" si="9"/>
        <v>-</v>
      </c>
      <c r="Z22" s="663"/>
      <c r="AA22" s="281">
        <f t="shared" si="10"/>
        <v>0</v>
      </c>
      <c r="AB22" s="650">
        <f t="shared" si="11"/>
        <v>0</v>
      </c>
      <c r="AC22" s="649" t="str">
        <f t="shared" si="12"/>
        <v>-</v>
      </c>
      <c r="AD22" s="661"/>
      <c r="AE22" s="323"/>
    </row>
    <row r="23" spans="1:31" ht="15.75" x14ac:dyDescent="0.25">
      <c r="A23" s="146" t="s">
        <v>32</v>
      </c>
      <c r="B23" s="290">
        <f>SUM(B13:B22)</f>
        <v>4209668</v>
      </c>
      <c r="C23" s="643">
        <f>SUM(C13:C22)</f>
        <v>3637576</v>
      </c>
      <c r="D23" s="291">
        <f>SUM(D13:D22)</f>
        <v>-572092</v>
      </c>
      <c r="E23" s="292">
        <f t="shared" si="1"/>
        <v>-0.13589955312390431</v>
      </c>
      <c r="F23" s="293"/>
      <c r="G23" s="290">
        <f>SUM(G13:G22)</f>
        <v>4618491.4399999995</v>
      </c>
      <c r="H23" s="291">
        <f>SUM(H13:H22)</f>
        <v>2224598.12</v>
      </c>
      <c r="I23" s="291">
        <f>SUM(I13:I22)</f>
        <v>-2393893.3199999998</v>
      </c>
      <c r="J23" s="292">
        <f t="shared" si="3"/>
        <v>-0.51832797594185864</v>
      </c>
      <c r="K23" s="293"/>
      <c r="L23" s="290"/>
      <c r="M23" s="291"/>
      <c r="N23" s="291"/>
      <c r="O23" s="292"/>
      <c r="P23" s="293"/>
      <c r="Q23" s="290">
        <f>SUM(Q13:Q22)</f>
        <v>0</v>
      </c>
      <c r="R23" s="291">
        <f>SUM(R13:R22)</f>
        <v>0</v>
      </c>
      <c r="S23" s="291">
        <f>SUM(S13:S22)</f>
        <v>0</v>
      </c>
      <c r="T23" s="682" t="str">
        <f t="shared" si="5"/>
        <v>-</v>
      </c>
      <c r="U23" s="293"/>
      <c r="V23" s="290">
        <f>SUM(V13:V22)</f>
        <v>8828159.4399999995</v>
      </c>
      <c r="W23" s="291">
        <f>SUM(W13:W22)</f>
        <v>5862174.1200000001</v>
      </c>
      <c r="X23" s="291">
        <f>SUM(X13:X22)</f>
        <v>-2965985.32</v>
      </c>
      <c r="Y23" s="682">
        <f t="shared" si="9"/>
        <v>-0.33596870787825284</v>
      </c>
      <c r="Z23" s="293"/>
      <c r="AA23" s="294">
        <f>SUM(AA13:AA22)</f>
        <v>8828159.4399999995</v>
      </c>
      <c r="AB23" s="295">
        <f>SUM(AB13:AB22)</f>
        <v>2965985.32</v>
      </c>
      <c r="AC23" s="675">
        <f t="shared" si="12"/>
        <v>0.33596870787825284</v>
      </c>
      <c r="AD23" s="648"/>
      <c r="AE23" s="641"/>
    </row>
    <row r="24" spans="1:31" ht="15.75" x14ac:dyDescent="0.25">
      <c r="A24" s="147"/>
      <c r="B24" s="638"/>
      <c r="C24" s="640"/>
      <c r="D24" s="639"/>
      <c r="E24" s="664"/>
      <c r="F24" s="663"/>
      <c r="G24" s="638"/>
      <c r="H24" s="639"/>
      <c r="I24" s="639"/>
      <c r="J24" s="662"/>
      <c r="K24" s="663"/>
      <c r="L24" s="638"/>
      <c r="M24" s="639"/>
      <c r="N24" s="639"/>
      <c r="O24" s="664"/>
      <c r="P24" s="663"/>
      <c r="Q24" s="638"/>
      <c r="R24" s="639"/>
      <c r="S24" s="639"/>
      <c r="T24" s="681" t="str">
        <f t="shared" si="5"/>
        <v>-</v>
      </c>
      <c r="U24" s="663"/>
      <c r="V24" s="638"/>
      <c r="W24" s="639"/>
      <c r="X24" s="639"/>
      <c r="Y24" s="664"/>
      <c r="Z24" s="663"/>
      <c r="AA24" s="638"/>
      <c r="AB24" s="639"/>
      <c r="AC24" s="664"/>
      <c r="AD24" s="661"/>
      <c r="AE24" s="323"/>
    </row>
    <row r="25" spans="1:31" ht="15.75" x14ac:dyDescent="0.25">
      <c r="A25" s="148" t="s">
        <v>33</v>
      </c>
      <c r="B25" s="281"/>
      <c r="C25" s="637"/>
      <c r="D25" s="280">
        <f>C25-B25</f>
        <v>0</v>
      </c>
      <c r="E25" s="325" t="str">
        <f>IF(ISERROR(D25/B25),"-",D25/B25)</f>
        <v>-</v>
      </c>
      <c r="F25" s="663"/>
      <c r="G25" s="281">
        <v>0</v>
      </c>
      <c r="H25" s="280">
        <v>0</v>
      </c>
      <c r="I25" s="280">
        <f>H25-G25</f>
        <v>0</v>
      </c>
      <c r="J25" s="325" t="str">
        <f>IF(ISERROR(I25/G25),"-",I25/G25)</f>
        <v>-</v>
      </c>
      <c r="K25" s="663"/>
      <c r="L25" s="281"/>
      <c r="M25" s="280"/>
      <c r="N25" s="280"/>
      <c r="O25" s="325"/>
      <c r="P25" s="663"/>
      <c r="Q25" s="281"/>
      <c r="R25" s="280"/>
      <c r="S25" s="280">
        <f>Q25-R25</f>
        <v>0</v>
      </c>
      <c r="T25" s="325" t="str">
        <f t="shared" si="5"/>
        <v>-</v>
      </c>
      <c r="U25" s="663"/>
      <c r="V25" s="281">
        <f>B25+G25+L25+Q25</f>
        <v>0</v>
      </c>
      <c r="W25" s="280">
        <f>C25+H25+M25+R25</f>
        <v>0</v>
      </c>
      <c r="X25" s="280"/>
      <c r="Y25" s="669"/>
      <c r="Z25" s="663"/>
      <c r="AA25" s="281"/>
      <c r="AB25" s="280"/>
      <c r="AC25" s="669"/>
      <c r="AD25" s="661"/>
      <c r="AE25" s="323"/>
    </row>
    <row r="26" spans="1:31" ht="15.75" x14ac:dyDescent="0.25">
      <c r="A26" s="149"/>
      <c r="B26" s="678"/>
      <c r="C26" s="680"/>
      <c r="D26" s="677"/>
      <c r="E26" s="676"/>
      <c r="F26" s="297"/>
      <c r="G26" s="678"/>
      <c r="H26" s="677"/>
      <c r="I26" s="677"/>
      <c r="J26" s="679"/>
      <c r="K26" s="297"/>
      <c r="L26" s="678"/>
      <c r="M26" s="677"/>
      <c r="N26" s="677"/>
      <c r="O26" s="676"/>
      <c r="P26" s="297"/>
      <c r="Q26" s="678"/>
      <c r="R26" s="677"/>
      <c r="S26" s="677"/>
      <c r="T26" s="649" t="str">
        <f t="shared" si="5"/>
        <v>-</v>
      </c>
      <c r="U26" s="297"/>
      <c r="V26" s="678"/>
      <c r="W26" s="677"/>
      <c r="X26" s="677"/>
      <c r="Y26" s="676"/>
      <c r="Z26" s="297"/>
      <c r="AA26" s="678"/>
      <c r="AB26" s="677"/>
      <c r="AC26" s="676"/>
      <c r="AD26" s="644"/>
      <c r="AE26" s="323"/>
    </row>
    <row r="27" spans="1:31" ht="15.75" x14ac:dyDescent="0.25">
      <c r="A27" s="146" t="s">
        <v>34</v>
      </c>
      <c r="B27" s="290">
        <f>B23+B25</f>
        <v>4209668</v>
      </c>
      <c r="C27" s="643">
        <f>C23+C25</f>
        <v>3637576</v>
      </c>
      <c r="D27" s="291">
        <f>D23+D25</f>
        <v>-572092</v>
      </c>
      <c r="E27" s="292">
        <f>IF(ISERROR(D27/B27),"-",D27/B27)</f>
        <v>-0.13589955312390431</v>
      </c>
      <c r="F27" s="293"/>
      <c r="G27" s="290">
        <f>G23+G25</f>
        <v>4618491.4399999995</v>
      </c>
      <c r="H27" s="291">
        <f>H23+H25</f>
        <v>2224598.12</v>
      </c>
      <c r="I27" s="291">
        <f>I23+I25</f>
        <v>-2393893.3199999998</v>
      </c>
      <c r="J27" s="292">
        <f>IF(ISERROR(I27/G27),"-",I27/G27)</f>
        <v>-0.51832797594185864</v>
      </c>
      <c r="K27" s="293"/>
      <c r="L27" s="290"/>
      <c r="M27" s="291"/>
      <c r="N27" s="291"/>
      <c r="O27" s="292"/>
      <c r="P27" s="293"/>
      <c r="Q27" s="290">
        <f>Q23+Q25</f>
        <v>0</v>
      </c>
      <c r="R27" s="291">
        <f>R23+R25</f>
        <v>0</v>
      </c>
      <c r="S27" s="291">
        <f>S23+S25</f>
        <v>0</v>
      </c>
      <c r="T27" s="292" t="str">
        <f t="shared" si="5"/>
        <v>-</v>
      </c>
      <c r="U27" s="293"/>
      <c r="V27" s="290">
        <f>V23+V25</f>
        <v>8828159.4399999995</v>
      </c>
      <c r="W27" s="291">
        <f>W23+W25</f>
        <v>5862174.1200000001</v>
      </c>
      <c r="X27" s="291">
        <f>X23+X25</f>
        <v>-2965985.32</v>
      </c>
      <c r="Y27" s="292">
        <f>IF(ISERROR(X27/V27),"-",X27/V27)</f>
        <v>-0.33596870787825284</v>
      </c>
      <c r="Z27" s="293"/>
      <c r="AA27" s="294">
        <f>AA23+AA25</f>
        <v>8828159.4399999995</v>
      </c>
      <c r="AB27" s="295">
        <f>AA27-W27</f>
        <v>2965985.3199999994</v>
      </c>
      <c r="AC27" s="675">
        <f>IF(ISERROR(AB27/AA27),"-",AB27/AA27)</f>
        <v>0.33596870787825278</v>
      </c>
      <c r="AD27" s="648"/>
      <c r="AE27" s="641"/>
    </row>
    <row r="28" spans="1:31" ht="15.75" x14ac:dyDescent="0.25">
      <c r="A28" s="150"/>
      <c r="B28" s="673"/>
      <c r="C28" s="674"/>
      <c r="D28" s="672"/>
      <c r="E28" s="671"/>
      <c r="F28" s="297"/>
      <c r="G28" s="673"/>
      <c r="H28" s="672"/>
      <c r="I28" s="672"/>
      <c r="J28" s="671"/>
      <c r="K28" s="297"/>
      <c r="L28" s="673"/>
      <c r="M28" s="672"/>
      <c r="N28" s="672"/>
      <c r="O28" s="671"/>
      <c r="P28" s="297"/>
      <c r="Q28" s="673"/>
      <c r="R28" s="672"/>
      <c r="S28" s="672"/>
      <c r="T28" s="671"/>
      <c r="U28" s="297"/>
      <c r="V28" s="638"/>
      <c r="W28" s="639"/>
      <c r="X28" s="672"/>
      <c r="Y28" s="671"/>
      <c r="Z28" s="297"/>
      <c r="AA28" s="638"/>
      <c r="AB28" s="672"/>
      <c r="AC28" s="671"/>
      <c r="AD28" s="644"/>
      <c r="AE28" s="323"/>
    </row>
    <row r="29" spans="1:31" ht="15.75" x14ac:dyDescent="0.25">
      <c r="A29" s="148" t="s">
        <v>35</v>
      </c>
      <c r="B29" s="281"/>
      <c r="C29" s="637"/>
      <c r="D29" s="280"/>
      <c r="E29" s="669"/>
      <c r="F29" s="663"/>
      <c r="G29" s="281"/>
      <c r="H29" s="280"/>
      <c r="I29" s="280"/>
      <c r="J29" s="669"/>
      <c r="K29" s="663"/>
      <c r="L29" s="281"/>
      <c r="M29" s="280"/>
      <c r="N29" s="280"/>
      <c r="O29" s="669"/>
      <c r="P29" s="663"/>
      <c r="Q29" s="281"/>
      <c r="R29" s="280"/>
      <c r="S29" s="280"/>
      <c r="T29" s="669"/>
      <c r="U29" s="663"/>
      <c r="V29" s="281"/>
      <c r="W29" s="280"/>
      <c r="X29" s="280"/>
      <c r="Y29" s="669"/>
      <c r="Z29" s="663"/>
      <c r="AA29" s="281"/>
      <c r="AB29" s="280"/>
      <c r="AC29" s="669"/>
      <c r="AD29" s="661"/>
      <c r="AE29" s="323"/>
    </row>
    <row r="30" spans="1:31" ht="15.75" x14ac:dyDescent="0.25">
      <c r="A30" s="151"/>
      <c r="B30" s="281"/>
      <c r="C30" s="637"/>
      <c r="D30" s="280"/>
      <c r="E30" s="669"/>
      <c r="F30" s="663"/>
      <c r="G30" s="281"/>
      <c r="H30" s="280"/>
      <c r="I30" s="280"/>
      <c r="J30" s="669"/>
      <c r="K30" s="663"/>
      <c r="L30" s="281"/>
      <c r="M30" s="280"/>
      <c r="N30" s="280"/>
      <c r="O30" s="670"/>
      <c r="P30" s="663"/>
      <c r="Q30" s="281"/>
      <c r="R30" s="280"/>
      <c r="S30" s="280"/>
      <c r="T30" s="669"/>
      <c r="U30" s="663"/>
      <c r="V30" s="281"/>
      <c r="W30" s="280"/>
      <c r="X30" s="280"/>
      <c r="Y30" s="669"/>
      <c r="Z30" s="663"/>
      <c r="AA30" s="281"/>
      <c r="AB30" s="280"/>
      <c r="AC30" s="669"/>
      <c r="AD30" s="661"/>
      <c r="AE30" s="323"/>
    </row>
    <row r="31" spans="1:31" ht="15.75" x14ac:dyDescent="0.25">
      <c r="A31" s="148" t="s">
        <v>36</v>
      </c>
      <c r="B31" s="281"/>
      <c r="C31" s="637"/>
      <c r="D31" s="280"/>
      <c r="E31" s="669"/>
      <c r="F31" s="663"/>
      <c r="G31" s="281"/>
      <c r="H31" s="280"/>
      <c r="I31" s="280"/>
      <c r="J31" s="669"/>
      <c r="K31" s="663"/>
      <c r="L31" s="281"/>
      <c r="M31" s="280"/>
      <c r="N31" s="280"/>
      <c r="O31" s="669"/>
      <c r="P31" s="663"/>
      <c r="Q31" s="281"/>
      <c r="R31" s="280"/>
      <c r="S31" s="280"/>
      <c r="T31" s="669"/>
      <c r="U31" s="663"/>
      <c r="V31" s="281"/>
      <c r="W31" s="280"/>
      <c r="X31" s="280"/>
      <c r="Y31" s="669"/>
      <c r="Z31" s="663"/>
      <c r="AA31" s="281"/>
      <c r="AB31" s="280"/>
      <c r="AC31" s="669"/>
      <c r="AD31" s="661"/>
      <c r="AE31" s="323"/>
    </row>
    <row r="32" spans="1:31" ht="15.75" x14ac:dyDescent="0.25">
      <c r="A32" s="145" t="s">
        <v>37</v>
      </c>
      <c r="B32" s="281">
        <v>2166000</v>
      </c>
      <c r="C32" s="637">
        <v>2208718.9500000002</v>
      </c>
      <c r="D32" s="280">
        <f t="shared" ref="D32:D38" si="13">B32-C32</f>
        <v>-42718.950000000186</v>
      </c>
      <c r="E32" s="279">
        <f t="shared" ref="E32:E38" si="14">IF(ISERROR(D32/B32),"-",D32/B32)</f>
        <v>-1.9722506925207842E-2</v>
      </c>
      <c r="F32" s="287"/>
      <c r="G32" s="281">
        <v>2220005.6999999997</v>
      </c>
      <c r="H32" s="280">
        <v>2240767.7099999995</v>
      </c>
      <c r="I32" s="280">
        <f t="shared" ref="I32:I38" si="15">G32-H32</f>
        <v>-20762.009999999776</v>
      </c>
      <c r="J32" s="279">
        <f t="shared" ref="J32:J38" si="16">IF(ISERROR(I32/G32),"-",I32/G32)</f>
        <v>-9.3522327442671794E-3</v>
      </c>
      <c r="K32" s="287"/>
      <c r="L32" s="281"/>
      <c r="M32" s="280"/>
      <c r="N32" s="280"/>
      <c r="O32" s="279"/>
      <c r="P32" s="287"/>
      <c r="Q32" s="281">
        <v>0</v>
      </c>
      <c r="R32" s="280">
        <v>0</v>
      </c>
      <c r="S32" s="280">
        <f t="shared" ref="S32:S38" si="17">Q32-R32</f>
        <v>0</v>
      </c>
      <c r="T32" s="279" t="str">
        <f t="shared" ref="T32:T38" si="18">IF(ISERROR(S32/Q32),"-",S32/Q32)</f>
        <v>-</v>
      </c>
      <c r="U32" s="287"/>
      <c r="V32" s="281">
        <f t="shared" ref="V32:W38" si="19">B32+G32+L32+Q32</f>
        <v>4386005.6999999993</v>
      </c>
      <c r="W32" s="280">
        <f t="shared" si="19"/>
        <v>4449486.66</v>
      </c>
      <c r="X32" s="280">
        <f t="shared" ref="X32:X38" si="20">V32-W32</f>
        <v>-63480.960000000894</v>
      </c>
      <c r="Y32" s="279">
        <f t="shared" ref="Y32:Y38" si="21">IF(ISERROR(X32/V32),"-",X32/V32)</f>
        <v>-1.4473524282013794E-2</v>
      </c>
      <c r="Z32" s="287"/>
      <c r="AA32" s="281">
        <f t="shared" ref="AA32:AA37" si="22">+Q32+L32+G32+B32</f>
        <v>4386005.6999999993</v>
      </c>
      <c r="AB32" s="280">
        <f t="shared" ref="AB32:AB38" si="23">AA32-W32</f>
        <v>-63480.960000000894</v>
      </c>
      <c r="AC32" s="279">
        <f t="shared" ref="AC32:AC38" si="24">IF(ISERROR(AB32/AA32),"-",AB32/AA32)</f>
        <v>-1.4473524282013794E-2</v>
      </c>
      <c r="AD32" s="286"/>
      <c r="AE32" s="668"/>
    </row>
    <row r="33" spans="1:31" ht="15.75" x14ac:dyDescent="0.25">
      <c r="A33" s="145" t="s">
        <v>154</v>
      </c>
      <c r="B33" s="281">
        <v>0</v>
      </c>
      <c r="C33" s="637">
        <v>74677.72</v>
      </c>
      <c r="D33" s="280">
        <f t="shared" si="13"/>
        <v>-74677.72</v>
      </c>
      <c r="E33" s="279" t="str">
        <f t="shared" si="14"/>
        <v>-</v>
      </c>
      <c r="F33" s="287"/>
      <c r="G33" s="281">
        <v>48782.98</v>
      </c>
      <c r="H33" s="280">
        <v>75967.5</v>
      </c>
      <c r="I33" s="280">
        <f t="shared" si="15"/>
        <v>-27184.519999999997</v>
      </c>
      <c r="J33" s="279">
        <f t="shared" si="16"/>
        <v>-0.55725418988343878</v>
      </c>
      <c r="K33" s="287"/>
      <c r="L33" s="281"/>
      <c r="M33" s="280"/>
      <c r="N33" s="280"/>
      <c r="O33" s="279"/>
      <c r="P33" s="287"/>
      <c r="Q33" s="281">
        <v>0</v>
      </c>
      <c r="R33" s="280">
        <v>0</v>
      </c>
      <c r="S33" s="280">
        <f t="shared" si="17"/>
        <v>0</v>
      </c>
      <c r="T33" s="279" t="str">
        <f t="shared" si="18"/>
        <v>-</v>
      </c>
      <c r="U33" s="287"/>
      <c r="V33" s="281">
        <f t="shared" si="19"/>
        <v>48782.98</v>
      </c>
      <c r="W33" s="280">
        <f t="shared" si="19"/>
        <v>150645.22</v>
      </c>
      <c r="X33" s="280">
        <f t="shared" si="20"/>
        <v>-101862.23999999999</v>
      </c>
      <c r="Y33" s="279">
        <f t="shared" si="21"/>
        <v>-2.0880692405425005</v>
      </c>
      <c r="Z33" s="287"/>
      <c r="AA33" s="281">
        <f t="shared" si="22"/>
        <v>48782.98</v>
      </c>
      <c r="AB33" s="280">
        <f t="shared" si="23"/>
        <v>-101862.23999999999</v>
      </c>
      <c r="AC33" s="279">
        <f t="shared" si="24"/>
        <v>-2.0880692405425005</v>
      </c>
      <c r="AD33" s="286"/>
      <c r="AE33" s="666"/>
    </row>
    <row r="34" spans="1:31" ht="15.75" x14ac:dyDescent="0.25">
      <c r="A34" s="145" t="s">
        <v>39</v>
      </c>
      <c r="B34" s="281">
        <v>64980</v>
      </c>
      <c r="C34" s="637">
        <v>60793</v>
      </c>
      <c r="D34" s="280">
        <f t="shared" si="13"/>
        <v>4187</v>
      </c>
      <c r="E34" s="279">
        <f t="shared" si="14"/>
        <v>6.4435210834102807E-2</v>
      </c>
      <c r="F34" s="282"/>
      <c r="G34" s="281">
        <v>63500.4</v>
      </c>
      <c r="H34" s="280">
        <v>63424.04</v>
      </c>
      <c r="I34" s="280">
        <f t="shared" si="15"/>
        <v>76.360000000000582</v>
      </c>
      <c r="J34" s="279">
        <f t="shared" si="16"/>
        <v>1.2025121101599452E-3</v>
      </c>
      <c r="K34" s="282"/>
      <c r="L34" s="281"/>
      <c r="M34" s="280"/>
      <c r="N34" s="280"/>
      <c r="O34" s="325"/>
      <c r="P34" s="282"/>
      <c r="Q34" s="281">
        <v>0</v>
      </c>
      <c r="R34" s="280">
        <v>0</v>
      </c>
      <c r="S34" s="280">
        <f t="shared" si="17"/>
        <v>0</v>
      </c>
      <c r="T34" s="325" t="str">
        <f t="shared" si="18"/>
        <v>-</v>
      </c>
      <c r="U34" s="282"/>
      <c r="V34" s="281">
        <f t="shared" si="19"/>
        <v>128480.4</v>
      </c>
      <c r="W34" s="280">
        <f t="shared" si="19"/>
        <v>124217.04000000001</v>
      </c>
      <c r="X34" s="280">
        <f t="shared" si="20"/>
        <v>4263.359999999986</v>
      </c>
      <c r="Y34" s="325">
        <f t="shared" si="21"/>
        <v>3.3182960202489925E-2</v>
      </c>
      <c r="Z34" s="282"/>
      <c r="AA34" s="281">
        <f t="shared" si="22"/>
        <v>128480.4</v>
      </c>
      <c r="AB34" s="280">
        <f t="shared" si="23"/>
        <v>4263.359999999986</v>
      </c>
      <c r="AC34" s="279">
        <f t="shared" si="24"/>
        <v>3.3182960202489925E-2</v>
      </c>
      <c r="AD34" s="278"/>
      <c r="AE34" s="323"/>
    </row>
    <row r="35" spans="1:31" ht="15.75" x14ac:dyDescent="0.25">
      <c r="A35" s="145" t="s">
        <v>40</v>
      </c>
      <c r="B35" s="281">
        <v>108300</v>
      </c>
      <c r="C35" s="637">
        <v>109607</v>
      </c>
      <c r="D35" s="280">
        <f t="shared" si="13"/>
        <v>-1307</v>
      </c>
      <c r="E35" s="279">
        <f t="shared" si="14"/>
        <v>-1.2068328716528163E-2</v>
      </c>
      <c r="F35" s="287"/>
      <c r="G35" s="281">
        <v>110266.45999999999</v>
      </c>
      <c r="H35" s="280">
        <v>110837.87</v>
      </c>
      <c r="I35" s="280">
        <f t="shared" si="15"/>
        <v>-571.41000000000349</v>
      </c>
      <c r="J35" s="279">
        <f t="shared" si="16"/>
        <v>-5.1820834730706283E-3</v>
      </c>
      <c r="K35" s="287"/>
      <c r="L35" s="281"/>
      <c r="M35" s="280"/>
      <c r="N35" s="280"/>
      <c r="O35" s="279"/>
      <c r="P35" s="287"/>
      <c r="Q35" s="281">
        <v>0</v>
      </c>
      <c r="R35" s="280">
        <v>0</v>
      </c>
      <c r="S35" s="280">
        <f t="shared" si="17"/>
        <v>0</v>
      </c>
      <c r="T35" s="279" t="str">
        <f t="shared" si="18"/>
        <v>-</v>
      </c>
      <c r="U35" s="287"/>
      <c r="V35" s="281">
        <f t="shared" si="19"/>
        <v>218566.46</v>
      </c>
      <c r="W35" s="280">
        <f t="shared" si="19"/>
        <v>220444.87</v>
      </c>
      <c r="X35" s="280">
        <f t="shared" si="20"/>
        <v>-1878.4100000000035</v>
      </c>
      <c r="Y35" s="279">
        <f t="shared" si="21"/>
        <v>-8.5942280439551596E-3</v>
      </c>
      <c r="Z35" s="287"/>
      <c r="AA35" s="281">
        <f t="shared" si="22"/>
        <v>218566.46</v>
      </c>
      <c r="AB35" s="280">
        <f t="shared" si="23"/>
        <v>-1878.4100000000035</v>
      </c>
      <c r="AC35" s="279">
        <f t="shared" si="24"/>
        <v>-8.5942280439551596E-3</v>
      </c>
      <c r="AD35" s="286"/>
      <c r="AE35" s="668"/>
    </row>
    <row r="36" spans="1:31" ht="16.5" customHeight="1" x14ac:dyDescent="0.25">
      <c r="A36" s="145" t="s">
        <v>41</v>
      </c>
      <c r="B36" s="281">
        <v>67725</v>
      </c>
      <c r="C36" s="637">
        <v>54328</v>
      </c>
      <c r="D36" s="280">
        <f t="shared" si="13"/>
        <v>13397</v>
      </c>
      <c r="E36" s="279">
        <f t="shared" si="14"/>
        <v>0.19781469176818015</v>
      </c>
      <c r="F36" s="287"/>
      <c r="G36" s="281">
        <v>58367.039999999994</v>
      </c>
      <c r="H36" s="280">
        <v>68109.55</v>
      </c>
      <c r="I36" s="280">
        <f t="shared" si="15"/>
        <v>-9742.5100000000093</v>
      </c>
      <c r="J36" s="279">
        <f t="shared" si="16"/>
        <v>-0.16691800714924057</v>
      </c>
      <c r="K36" s="287"/>
      <c r="L36" s="281"/>
      <c r="M36" s="280"/>
      <c r="N36" s="280"/>
      <c r="O36" s="279"/>
      <c r="P36" s="287"/>
      <c r="Q36" s="281">
        <v>0</v>
      </c>
      <c r="R36" s="280">
        <v>0</v>
      </c>
      <c r="S36" s="280">
        <f t="shared" si="17"/>
        <v>0</v>
      </c>
      <c r="T36" s="279" t="str">
        <f t="shared" si="18"/>
        <v>-</v>
      </c>
      <c r="U36" s="287"/>
      <c r="V36" s="281">
        <f t="shared" si="19"/>
        <v>126092.04</v>
      </c>
      <c r="W36" s="280">
        <f t="shared" si="19"/>
        <v>122437.55</v>
      </c>
      <c r="X36" s="280">
        <f t="shared" si="20"/>
        <v>3654.4899999999907</v>
      </c>
      <c r="Y36" s="279">
        <f t="shared" si="21"/>
        <v>2.8982717703670991E-2</v>
      </c>
      <c r="Z36" s="287"/>
      <c r="AA36" s="281">
        <f t="shared" si="22"/>
        <v>126092.04</v>
      </c>
      <c r="AB36" s="280">
        <f t="shared" si="23"/>
        <v>3654.4899999999907</v>
      </c>
      <c r="AC36" s="279">
        <f t="shared" si="24"/>
        <v>2.8982717703670991E-2</v>
      </c>
      <c r="AD36" s="286"/>
      <c r="AE36" s="667"/>
    </row>
    <row r="37" spans="1:31" ht="15.75" x14ac:dyDescent="0.25">
      <c r="A37" s="152" t="s">
        <v>155</v>
      </c>
      <c r="B37" s="651">
        <v>211200</v>
      </c>
      <c r="C37" s="636">
        <v>173720</v>
      </c>
      <c r="D37" s="650">
        <f t="shared" si="13"/>
        <v>37480</v>
      </c>
      <c r="E37" s="652">
        <f t="shared" si="14"/>
        <v>0.17746212121212121</v>
      </c>
      <c r="F37" s="663"/>
      <c r="G37" s="651">
        <v>205560</v>
      </c>
      <c r="H37" s="650">
        <v>204105</v>
      </c>
      <c r="I37" s="650">
        <f t="shared" si="15"/>
        <v>1455</v>
      </c>
      <c r="J37" s="652">
        <f t="shared" si="16"/>
        <v>7.078225335668418E-3</v>
      </c>
      <c r="K37" s="663"/>
      <c r="L37" s="651"/>
      <c r="M37" s="650"/>
      <c r="N37" s="650"/>
      <c r="O37" s="652"/>
      <c r="P37" s="663"/>
      <c r="Q37" s="651">
        <v>0</v>
      </c>
      <c r="R37" s="650">
        <v>0</v>
      </c>
      <c r="S37" s="650">
        <f t="shared" si="17"/>
        <v>0</v>
      </c>
      <c r="T37" s="652" t="str">
        <f t="shared" si="18"/>
        <v>-</v>
      </c>
      <c r="U37" s="663"/>
      <c r="V37" s="651">
        <f t="shared" si="19"/>
        <v>416760</v>
      </c>
      <c r="W37" s="650">
        <f t="shared" si="19"/>
        <v>377825</v>
      </c>
      <c r="X37" s="650">
        <f t="shared" si="20"/>
        <v>38935</v>
      </c>
      <c r="Y37" s="652">
        <f t="shared" si="21"/>
        <v>9.3423073231596127E-2</v>
      </c>
      <c r="Z37" s="663"/>
      <c r="AA37" s="824">
        <f t="shared" si="22"/>
        <v>416760</v>
      </c>
      <c r="AB37" s="650">
        <f t="shared" si="23"/>
        <v>38935</v>
      </c>
      <c r="AC37" s="279">
        <f t="shared" si="24"/>
        <v>9.3423073231596127E-2</v>
      </c>
      <c r="AD37" s="661"/>
      <c r="AE37" s="666"/>
    </row>
    <row r="38" spans="1:31" ht="15.75" x14ac:dyDescent="0.25">
      <c r="A38" s="145" t="s">
        <v>156</v>
      </c>
      <c r="B38" s="281">
        <v>0</v>
      </c>
      <c r="C38" s="637">
        <v>0</v>
      </c>
      <c r="D38" s="280">
        <f t="shared" si="13"/>
        <v>0</v>
      </c>
      <c r="E38" s="279" t="str">
        <f t="shared" si="14"/>
        <v>-</v>
      </c>
      <c r="F38" s="282"/>
      <c r="G38" s="281">
        <v>0</v>
      </c>
      <c r="H38" s="280">
        <v>0</v>
      </c>
      <c r="I38" s="280">
        <f t="shared" si="15"/>
        <v>0</v>
      </c>
      <c r="J38" s="279" t="str">
        <f t="shared" si="16"/>
        <v>-</v>
      </c>
      <c r="K38" s="282"/>
      <c r="L38" s="281"/>
      <c r="M38" s="280"/>
      <c r="N38" s="280"/>
      <c r="O38" s="325"/>
      <c r="P38" s="282"/>
      <c r="Q38" s="281">
        <v>0</v>
      </c>
      <c r="R38" s="280">
        <v>0</v>
      </c>
      <c r="S38" s="280">
        <f t="shared" si="17"/>
        <v>0</v>
      </c>
      <c r="T38" s="325" t="str">
        <f t="shared" si="18"/>
        <v>-</v>
      </c>
      <c r="U38" s="282"/>
      <c r="V38" s="281">
        <f t="shared" si="19"/>
        <v>0</v>
      </c>
      <c r="W38" s="280">
        <f t="shared" si="19"/>
        <v>0</v>
      </c>
      <c r="X38" s="280">
        <f t="shared" si="20"/>
        <v>0</v>
      </c>
      <c r="Y38" s="325" t="str">
        <f t="shared" si="21"/>
        <v>-</v>
      </c>
      <c r="Z38" s="282"/>
      <c r="AA38" s="281">
        <v>0</v>
      </c>
      <c r="AB38" s="280">
        <f t="shared" si="23"/>
        <v>0</v>
      </c>
      <c r="AC38" s="325" t="str">
        <f t="shared" si="24"/>
        <v>-</v>
      </c>
      <c r="AD38" s="278"/>
      <c r="AE38" s="323"/>
    </row>
    <row r="39" spans="1:31" ht="15.75" x14ac:dyDescent="0.25">
      <c r="A39" s="145" t="s">
        <v>44</v>
      </c>
      <c r="B39" s="281"/>
      <c r="C39" s="637"/>
      <c r="D39" s="280"/>
      <c r="E39" s="279"/>
      <c r="F39" s="282"/>
      <c r="G39" s="281"/>
      <c r="H39" s="280"/>
      <c r="I39" s="280"/>
      <c r="J39" s="279"/>
      <c r="K39" s="282"/>
      <c r="L39" s="281"/>
      <c r="M39" s="280"/>
      <c r="N39" s="280"/>
      <c r="O39" s="325"/>
      <c r="P39" s="282"/>
      <c r="Q39" s="281"/>
      <c r="R39" s="280"/>
      <c r="S39" s="280"/>
      <c r="T39" s="325"/>
      <c r="U39" s="282"/>
      <c r="V39" s="281"/>
      <c r="W39" s="280"/>
      <c r="X39" s="280"/>
      <c r="Y39" s="325"/>
      <c r="Z39" s="282"/>
      <c r="AA39" s="281"/>
      <c r="AB39" s="280"/>
      <c r="AC39" s="325"/>
      <c r="AD39" s="278"/>
      <c r="AE39" s="323"/>
    </row>
    <row r="40" spans="1:31" ht="15.75" x14ac:dyDescent="0.25">
      <c r="A40" s="146" t="s">
        <v>45</v>
      </c>
      <c r="B40" s="290">
        <f>SUM(B32:B39)</f>
        <v>2618205</v>
      </c>
      <c r="C40" s="643">
        <f>SUM(C32:C39)</f>
        <v>2681844.6700000004</v>
      </c>
      <c r="D40" s="291">
        <f>SUM(D32:D39)</f>
        <v>-63639.670000000187</v>
      </c>
      <c r="E40" s="292">
        <f>IF(ISERROR(D40/B40),"-",D40/B40)</f>
        <v>-2.4306603188062121E-2</v>
      </c>
      <c r="F40" s="287"/>
      <c r="G40" s="290">
        <f>SUM(G32:G39)</f>
        <v>2706482.5799999996</v>
      </c>
      <c r="H40" s="291">
        <f>SUM(H32:H39)</f>
        <v>2763211.6699999995</v>
      </c>
      <c r="I40" s="291">
        <f>SUM(I32:I39)</f>
        <v>-56729.089999999786</v>
      </c>
      <c r="J40" s="292">
        <f>IF(ISERROR(I40/G40),"-",I40/G40)</f>
        <v>-2.0960448967678111E-2</v>
      </c>
      <c r="K40" s="287"/>
      <c r="L40" s="290"/>
      <c r="M40" s="291"/>
      <c r="N40" s="291"/>
      <c r="O40" s="292"/>
      <c r="P40" s="287"/>
      <c r="Q40" s="290">
        <f>SUM(Q32:Q39)</f>
        <v>0</v>
      </c>
      <c r="R40" s="291">
        <f>SUM(R32:R39)</f>
        <v>0</v>
      </c>
      <c r="S40" s="291">
        <f>SUM(S32:S39)</f>
        <v>0</v>
      </c>
      <c r="T40" s="292" t="str">
        <f>IF(ISERROR(S40/Q40),"-",S40/Q40)</f>
        <v>-</v>
      </c>
      <c r="U40" s="287"/>
      <c r="V40" s="290">
        <f>SUM(V32:V39)</f>
        <v>5324687.58</v>
      </c>
      <c r="W40" s="290">
        <f>SUM(W32:W39)</f>
        <v>5445056.3399999999</v>
      </c>
      <c r="X40" s="291">
        <f>SUM(X32:X39)</f>
        <v>-120368.76000000091</v>
      </c>
      <c r="Y40" s="292">
        <f>IF(ISERROR(X40/V40),"-",X40/V40)</f>
        <v>-2.2605788262980289E-2</v>
      </c>
      <c r="Z40" s="287"/>
      <c r="AA40" s="294">
        <f>SUM(AA32:AA39)</f>
        <v>5324687.58</v>
      </c>
      <c r="AB40" s="295">
        <f>SUM(AB32:AB39)</f>
        <v>-120368.76000000091</v>
      </c>
      <c r="AC40" s="642">
        <f>IF(ISERROR(AB40/AA40),"-",AB40/AA40)</f>
        <v>-2.2605788262980289E-2</v>
      </c>
      <c r="AD40" s="286"/>
      <c r="AE40" s="665"/>
    </row>
    <row r="41" spans="1:31" x14ac:dyDescent="0.25">
      <c r="A41" s="150"/>
      <c r="B41" s="638"/>
      <c r="C41" s="640"/>
      <c r="D41" s="639"/>
      <c r="E41" s="664"/>
      <c r="F41" s="663"/>
      <c r="G41" s="638"/>
      <c r="H41" s="639"/>
      <c r="I41" s="639"/>
      <c r="J41" s="664"/>
      <c r="K41" s="663"/>
      <c r="L41" s="638"/>
      <c r="M41" s="639"/>
      <c r="N41" s="639"/>
      <c r="O41" s="664"/>
      <c r="P41" s="663"/>
      <c r="Q41" s="638"/>
      <c r="R41" s="639"/>
      <c r="S41" s="639"/>
      <c r="T41" s="664"/>
      <c r="U41" s="663"/>
      <c r="V41" s="638"/>
      <c r="W41" s="639"/>
      <c r="X41" s="639"/>
      <c r="Y41" s="662"/>
      <c r="Z41" s="663"/>
      <c r="AA41" s="638"/>
      <c r="AB41" s="639"/>
      <c r="AC41" s="662"/>
      <c r="AD41" s="661"/>
      <c r="AE41" s="323"/>
    </row>
    <row r="42" spans="1:31" ht="15.75" x14ac:dyDescent="0.25">
      <c r="A42" s="148" t="s">
        <v>46</v>
      </c>
      <c r="B42" s="657"/>
      <c r="C42" s="660"/>
      <c r="D42" s="658"/>
      <c r="E42" s="659"/>
      <c r="F42" s="297"/>
      <c r="G42" s="657"/>
      <c r="H42" s="658"/>
      <c r="I42" s="658"/>
      <c r="J42" s="659"/>
      <c r="K42" s="297"/>
      <c r="L42" s="657"/>
      <c r="M42" s="658"/>
      <c r="N42" s="658"/>
      <c r="O42" s="659"/>
      <c r="P42" s="297"/>
      <c r="Q42" s="657"/>
      <c r="R42" s="658"/>
      <c r="S42" s="658"/>
      <c r="T42" s="659"/>
      <c r="U42" s="297"/>
      <c r="V42" s="657"/>
      <c r="W42" s="658"/>
      <c r="X42" s="280"/>
      <c r="Y42" s="656"/>
      <c r="Z42" s="297"/>
      <c r="AA42" s="657"/>
      <c r="AB42" s="280"/>
      <c r="AC42" s="656"/>
      <c r="AD42" s="644"/>
      <c r="AE42" s="323"/>
    </row>
    <row r="43" spans="1:31" ht="15.75" x14ac:dyDescent="0.25">
      <c r="A43" s="145" t="s">
        <v>47</v>
      </c>
      <c r="B43" s="281">
        <v>12800</v>
      </c>
      <c r="C43" s="637">
        <v>3056.9</v>
      </c>
      <c r="D43" s="280">
        <f t="shared" ref="D43:D62" si="25">B43-C43</f>
        <v>9743.1</v>
      </c>
      <c r="E43" s="279">
        <f t="shared" ref="E43:E62" si="26">IF(ISERROR(D43/B43),"-",D43/B43)</f>
        <v>0.76117968749999998</v>
      </c>
      <c r="F43" s="287"/>
      <c r="G43" s="281">
        <v>800</v>
      </c>
      <c r="H43" s="280">
        <v>389.79</v>
      </c>
      <c r="I43" s="280">
        <f t="shared" ref="I43:I62" si="27">G43-H43</f>
        <v>410.21</v>
      </c>
      <c r="J43" s="279">
        <f t="shared" ref="J43:J62" si="28">IF(ISERROR(I43/G43),"-",I43/G43)</f>
        <v>0.51276250000000001</v>
      </c>
      <c r="K43" s="287"/>
      <c r="M43" s="280"/>
      <c r="N43" s="280"/>
      <c r="O43" s="279"/>
      <c r="P43" s="287"/>
      <c r="Q43" s="281">
        <v>0</v>
      </c>
      <c r="R43" s="280">
        <v>0</v>
      </c>
      <c r="S43" s="280">
        <f t="shared" ref="S43:S62" si="29">Q43-R43</f>
        <v>0</v>
      </c>
      <c r="T43" s="279" t="str">
        <f t="shared" ref="T43:T62" si="30">IF(ISERROR(S43/Q43),"-",S43/Q43)</f>
        <v>-</v>
      </c>
      <c r="U43" s="287"/>
      <c r="V43" s="281">
        <f>B43+G43+L48+Q43</f>
        <v>13600</v>
      </c>
      <c r="W43" s="280">
        <f t="shared" ref="W43:W62" si="31">C43+H43+M43+R43</f>
        <v>3446.69</v>
      </c>
      <c r="X43" s="280">
        <f t="shared" ref="X43:X62" si="32">V43-W43</f>
        <v>10153.31</v>
      </c>
      <c r="Y43" s="279">
        <f t="shared" ref="Y43:Y62" si="33">IF(ISERROR(X43/V43),"-",X43/V43)</f>
        <v>0.7465669117647058</v>
      </c>
      <c r="Z43" s="287"/>
      <c r="AA43" s="281">
        <f t="shared" ref="AA43:AA66" si="34">+Q43+L43+G43+B43</f>
        <v>13600</v>
      </c>
      <c r="AB43" s="280">
        <f t="shared" ref="AB43:AB51" si="35">AA43-W43</f>
        <v>10153.31</v>
      </c>
      <c r="AC43" s="279">
        <f t="shared" ref="AC43:AC66" si="36">IF(ISERROR(AB43/AA43),"-",AB43/AA43)</f>
        <v>0.7465669117647058</v>
      </c>
      <c r="AD43" s="286"/>
      <c r="AE43" s="328"/>
    </row>
    <row r="44" spans="1:31" ht="15.75" x14ac:dyDescent="0.25">
      <c r="A44" s="145" t="s">
        <v>48</v>
      </c>
      <c r="B44" s="281">
        <v>9000</v>
      </c>
      <c r="C44" s="637"/>
      <c r="D44" s="280">
        <f t="shared" si="25"/>
        <v>9000</v>
      </c>
      <c r="E44" s="279">
        <f t="shared" si="26"/>
        <v>1</v>
      </c>
      <c r="F44" s="282"/>
      <c r="G44" s="281">
        <v>9000</v>
      </c>
      <c r="H44" s="280"/>
      <c r="I44" s="280">
        <f t="shared" si="27"/>
        <v>9000</v>
      </c>
      <c r="J44" s="279">
        <f t="shared" si="28"/>
        <v>1</v>
      </c>
      <c r="K44" s="282"/>
      <c r="L44" s="281"/>
      <c r="M44" s="280"/>
      <c r="N44" s="280"/>
      <c r="O44" s="279"/>
      <c r="P44" s="282"/>
      <c r="Q44" s="281">
        <v>0</v>
      </c>
      <c r="R44" s="280">
        <v>0</v>
      </c>
      <c r="S44" s="280">
        <f t="shared" si="29"/>
        <v>0</v>
      </c>
      <c r="T44" s="279" t="str">
        <f t="shared" si="30"/>
        <v>-</v>
      </c>
      <c r="U44" s="282"/>
      <c r="V44" s="281">
        <f t="shared" ref="V44:V62" si="37">B44+G44+L44+Q44</f>
        <v>18000</v>
      </c>
      <c r="W44" s="280">
        <f t="shared" si="31"/>
        <v>0</v>
      </c>
      <c r="X44" s="280">
        <f t="shared" si="32"/>
        <v>18000</v>
      </c>
      <c r="Y44" s="279">
        <f t="shared" si="33"/>
        <v>1</v>
      </c>
      <c r="Z44" s="282"/>
      <c r="AA44" s="281">
        <f t="shared" si="34"/>
        <v>18000</v>
      </c>
      <c r="AB44" s="280">
        <f t="shared" si="35"/>
        <v>18000</v>
      </c>
      <c r="AC44" s="279">
        <f t="shared" si="36"/>
        <v>1</v>
      </c>
      <c r="AD44" s="278"/>
      <c r="AE44" s="323"/>
    </row>
    <row r="45" spans="1:31" ht="15.75" x14ac:dyDescent="0.25">
      <c r="A45" s="145" t="s">
        <v>49</v>
      </c>
      <c r="B45" s="281">
        <v>0</v>
      </c>
      <c r="C45" s="637"/>
      <c r="D45" s="280">
        <f t="shared" si="25"/>
        <v>0</v>
      </c>
      <c r="E45" s="325" t="str">
        <f t="shared" si="26"/>
        <v>-</v>
      </c>
      <c r="F45" s="282"/>
      <c r="G45" s="281">
        <v>0</v>
      </c>
      <c r="H45" s="280">
        <v>0</v>
      </c>
      <c r="I45" s="280">
        <f t="shared" si="27"/>
        <v>0</v>
      </c>
      <c r="J45" s="325" t="str">
        <f t="shared" si="28"/>
        <v>-</v>
      </c>
      <c r="K45" s="282"/>
      <c r="L45" s="281"/>
      <c r="M45" s="280"/>
      <c r="N45" s="280"/>
      <c r="O45" s="325"/>
      <c r="P45" s="282"/>
      <c r="Q45" s="281">
        <v>0</v>
      </c>
      <c r="R45" s="280">
        <v>0</v>
      </c>
      <c r="S45" s="280">
        <f t="shared" si="29"/>
        <v>0</v>
      </c>
      <c r="T45" s="325" t="str">
        <f t="shared" si="30"/>
        <v>-</v>
      </c>
      <c r="U45" s="282"/>
      <c r="V45" s="281">
        <f t="shared" si="37"/>
        <v>0</v>
      </c>
      <c r="W45" s="280">
        <f t="shared" si="31"/>
        <v>0</v>
      </c>
      <c r="X45" s="280">
        <f t="shared" si="32"/>
        <v>0</v>
      </c>
      <c r="Y45" s="325" t="str">
        <f t="shared" si="33"/>
        <v>-</v>
      </c>
      <c r="Z45" s="282"/>
      <c r="AA45" s="281">
        <f t="shared" si="34"/>
        <v>0</v>
      </c>
      <c r="AB45" s="280">
        <f t="shared" si="35"/>
        <v>0</v>
      </c>
      <c r="AC45" s="279" t="str">
        <f t="shared" si="36"/>
        <v>-</v>
      </c>
      <c r="AD45" s="278"/>
      <c r="AE45" s="323"/>
    </row>
    <row r="46" spans="1:31" ht="15.75" x14ac:dyDescent="0.25">
      <c r="A46" s="145" t="s">
        <v>50</v>
      </c>
      <c r="B46" s="281">
        <v>600</v>
      </c>
      <c r="C46" s="637">
        <v>188.16</v>
      </c>
      <c r="D46" s="280">
        <f t="shared" si="25"/>
        <v>411.84000000000003</v>
      </c>
      <c r="E46" s="279">
        <f t="shared" si="26"/>
        <v>0.68640000000000001</v>
      </c>
      <c r="F46" s="282"/>
      <c r="G46" s="281">
        <v>0</v>
      </c>
      <c r="H46" s="280">
        <v>31.8</v>
      </c>
      <c r="I46" s="280">
        <f t="shared" si="27"/>
        <v>-31.8</v>
      </c>
      <c r="J46" s="279" t="str">
        <f t="shared" si="28"/>
        <v>-</v>
      </c>
      <c r="K46" s="282"/>
      <c r="L46" s="281"/>
      <c r="M46" s="280"/>
      <c r="N46" s="280"/>
      <c r="O46" s="279"/>
      <c r="P46" s="282"/>
      <c r="Q46" s="281">
        <v>0</v>
      </c>
      <c r="R46" s="280">
        <v>0</v>
      </c>
      <c r="S46" s="280">
        <f t="shared" si="29"/>
        <v>0</v>
      </c>
      <c r="T46" s="279" t="str">
        <f t="shared" si="30"/>
        <v>-</v>
      </c>
      <c r="U46" s="282"/>
      <c r="V46" s="281">
        <f t="shared" si="37"/>
        <v>600</v>
      </c>
      <c r="W46" s="280">
        <f t="shared" si="31"/>
        <v>219.96</v>
      </c>
      <c r="X46" s="280">
        <f t="shared" si="32"/>
        <v>380.03999999999996</v>
      </c>
      <c r="Y46" s="279">
        <f t="shared" si="33"/>
        <v>0.63339999999999996</v>
      </c>
      <c r="Z46" s="282"/>
      <c r="AA46" s="281">
        <f t="shared" si="34"/>
        <v>600</v>
      </c>
      <c r="AB46" s="280">
        <f t="shared" si="35"/>
        <v>380.03999999999996</v>
      </c>
      <c r="AC46" s="279">
        <f t="shared" si="36"/>
        <v>0.63339999999999996</v>
      </c>
      <c r="AD46" s="278"/>
      <c r="AE46" s="328"/>
    </row>
    <row r="47" spans="1:31" ht="15.75" x14ac:dyDescent="0.25">
      <c r="A47" s="145" t="s">
        <v>51</v>
      </c>
      <c r="B47" s="281">
        <v>0</v>
      </c>
      <c r="C47" s="637"/>
      <c r="D47" s="280">
        <f t="shared" si="25"/>
        <v>0</v>
      </c>
      <c r="E47" s="325" t="str">
        <f t="shared" si="26"/>
        <v>-</v>
      </c>
      <c r="F47" s="282"/>
      <c r="G47" s="281">
        <v>0</v>
      </c>
      <c r="H47" s="280"/>
      <c r="I47" s="280">
        <f t="shared" si="27"/>
        <v>0</v>
      </c>
      <c r="J47" s="325" t="str">
        <f t="shared" si="28"/>
        <v>-</v>
      </c>
      <c r="K47" s="282"/>
      <c r="L47" s="281"/>
      <c r="M47" s="280"/>
      <c r="N47" s="280"/>
      <c r="O47" s="325"/>
      <c r="P47" s="282"/>
      <c r="Q47" s="281">
        <v>0</v>
      </c>
      <c r="R47" s="280">
        <v>0</v>
      </c>
      <c r="S47" s="280">
        <f t="shared" si="29"/>
        <v>0</v>
      </c>
      <c r="T47" s="325" t="str">
        <f t="shared" si="30"/>
        <v>-</v>
      </c>
      <c r="U47" s="282"/>
      <c r="V47" s="281">
        <f t="shared" si="37"/>
        <v>0</v>
      </c>
      <c r="W47" s="280">
        <f t="shared" si="31"/>
        <v>0</v>
      </c>
      <c r="X47" s="280">
        <f t="shared" si="32"/>
        <v>0</v>
      </c>
      <c r="Y47" s="325" t="str">
        <f t="shared" si="33"/>
        <v>-</v>
      </c>
      <c r="Z47" s="282"/>
      <c r="AA47" s="281">
        <f t="shared" si="34"/>
        <v>0</v>
      </c>
      <c r="AB47" s="280">
        <f t="shared" si="35"/>
        <v>0</v>
      </c>
      <c r="AC47" s="279" t="str">
        <f t="shared" si="36"/>
        <v>-</v>
      </c>
      <c r="AD47" s="278"/>
      <c r="AE47" s="323"/>
    </row>
    <row r="48" spans="1:31" ht="15.75" x14ac:dyDescent="0.25">
      <c r="A48" s="145" t="s">
        <v>52</v>
      </c>
      <c r="B48" s="281">
        <v>16500</v>
      </c>
      <c r="C48" s="637">
        <v>33213.519999999997</v>
      </c>
      <c r="D48" s="280">
        <f t="shared" si="25"/>
        <v>-16713.519999999997</v>
      </c>
      <c r="E48" s="279">
        <f t="shared" si="26"/>
        <v>-1.0129406060606059</v>
      </c>
      <c r="F48" s="287"/>
      <c r="G48" s="281">
        <v>21955</v>
      </c>
      <c r="H48" s="280">
        <v>24409.41</v>
      </c>
      <c r="I48" s="280">
        <f t="shared" si="27"/>
        <v>-2454.41</v>
      </c>
      <c r="J48" s="279">
        <f t="shared" si="28"/>
        <v>-0.11179275791391483</v>
      </c>
      <c r="K48" s="287"/>
      <c r="L48" s="281"/>
      <c r="M48" s="280"/>
      <c r="N48" s="280"/>
      <c r="O48" s="279"/>
      <c r="P48" s="287"/>
      <c r="Q48" s="281">
        <v>0</v>
      </c>
      <c r="R48" s="280">
        <v>0</v>
      </c>
      <c r="S48" s="280">
        <f t="shared" si="29"/>
        <v>0</v>
      </c>
      <c r="T48" s="279" t="str">
        <f t="shared" si="30"/>
        <v>-</v>
      </c>
      <c r="U48" s="287"/>
      <c r="V48" s="281">
        <f t="shared" si="37"/>
        <v>38455</v>
      </c>
      <c r="W48" s="280">
        <f t="shared" si="31"/>
        <v>57622.929999999993</v>
      </c>
      <c r="X48" s="280">
        <f t="shared" si="32"/>
        <v>-19167.929999999993</v>
      </c>
      <c r="Y48" s="279">
        <f t="shared" si="33"/>
        <v>-0.4984509166558313</v>
      </c>
      <c r="Z48" s="287"/>
      <c r="AA48" s="281">
        <f t="shared" si="34"/>
        <v>38455</v>
      </c>
      <c r="AB48" s="280">
        <f t="shared" si="35"/>
        <v>-19167.929999999993</v>
      </c>
      <c r="AC48" s="279">
        <f t="shared" si="36"/>
        <v>-0.4984509166558313</v>
      </c>
      <c r="AD48" s="286"/>
      <c r="AE48" s="327"/>
    </row>
    <row r="49" spans="1:32" ht="15.75" x14ac:dyDescent="0.25">
      <c r="A49" s="145" t="s">
        <v>53</v>
      </c>
      <c r="B49" s="281">
        <v>15000</v>
      </c>
      <c r="C49" s="637">
        <v>21493.32</v>
      </c>
      <c r="D49" s="280">
        <f t="shared" si="25"/>
        <v>-6493.32</v>
      </c>
      <c r="E49" s="279">
        <f t="shared" si="26"/>
        <v>-0.432888</v>
      </c>
      <c r="F49" s="287"/>
      <c r="G49" s="281">
        <v>5000</v>
      </c>
      <c r="H49" s="280">
        <v>1028.24</v>
      </c>
      <c r="I49" s="280">
        <f t="shared" si="27"/>
        <v>3971.76</v>
      </c>
      <c r="J49" s="279">
        <f t="shared" si="28"/>
        <v>0.79435200000000006</v>
      </c>
      <c r="K49" s="287"/>
      <c r="L49" s="281"/>
      <c r="M49" s="280"/>
      <c r="N49" s="280"/>
      <c r="O49" s="279"/>
      <c r="P49" s="287"/>
      <c r="Q49" s="281">
        <v>0</v>
      </c>
      <c r="R49" s="280">
        <v>0</v>
      </c>
      <c r="S49" s="280">
        <f t="shared" si="29"/>
        <v>0</v>
      </c>
      <c r="T49" s="279" t="str">
        <f t="shared" si="30"/>
        <v>-</v>
      </c>
      <c r="U49" s="287"/>
      <c r="V49" s="281">
        <f t="shared" si="37"/>
        <v>20000</v>
      </c>
      <c r="W49" s="280">
        <f t="shared" si="31"/>
        <v>22521.56</v>
      </c>
      <c r="X49" s="280">
        <f t="shared" si="32"/>
        <v>-2521.5600000000013</v>
      </c>
      <c r="Y49" s="279">
        <f t="shared" si="33"/>
        <v>-0.12607800000000008</v>
      </c>
      <c r="Z49" s="287"/>
      <c r="AA49" s="281">
        <f t="shared" si="34"/>
        <v>20000</v>
      </c>
      <c r="AB49" s="280">
        <f t="shared" si="35"/>
        <v>-2521.5600000000013</v>
      </c>
      <c r="AC49" s="279">
        <f t="shared" si="36"/>
        <v>-0.12607800000000008</v>
      </c>
      <c r="AD49" s="286"/>
      <c r="AE49" s="326"/>
    </row>
    <row r="50" spans="1:32" s="276" customFormat="1" ht="15.75" x14ac:dyDescent="0.25">
      <c r="A50" s="270" t="s">
        <v>54</v>
      </c>
      <c r="B50" s="281">
        <v>34217.68</v>
      </c>
      <c r="C50" s="637">
        <v>44783.519999999997</v>
      </c>
      <c r="D50" s="280">
        <f t="shared" si="25"/>
        <v>-10565.839999999997</v>
      </c>
      <c r="E50" s="279">
        <f t="shared" si="26"/>
        <v>-0.30878306185574228</v>
      </c>
      <c r="F50" s="282"/>
      <c r="G50" s="281">
        <v>34217.68</v>
      </c>
      <c r="H50" s="280">
        <v>24240.21</v>
      </c>
      <c r="I50" s="280">
        <f t="shared" si="27"/>
        <v>9977.4700000000012</v>
      </c>
      <c r="J50" s="279">
        <f t="shared" si="28"/>
        <v>0.29158814975182423</v>
      </c>
      <c r="K50" s="282"/>
      <c r="L50" s="281"/>
      <c r="M50" s="280"/>
      <c r="N50" s="280"/>
      <c r="O50" s="279"/>
      <c r="P50" s="282"/>
      <c r="Q50" s="281">
        <v>0</v>
      </c>
      <c r="R50" s="280">
        <v>0</v>
      </c>
      <c r="S50" s="280">
        <f t="shared" si="29"/>
        <v>0</v>
      </c>
      <c r="T50" s="279" t="str">
        <f t="shared" si="30"/>
        <v>-</v>
      </c>
      <c r="U50" s="282"/>
      <c r="V50" s="281">
        <f t="shared" si="37"/>
        <v>68435.360000000001</v>
      </c>
      <c r="W50" s="280">
        <f t="shared" si="31"/>
        <v>69023.73</v>
      </c>
      <c r="X50" s="280">
        <f t="shared" si="32"/>
        <v>-588.36999999999534</v>
      </c>
      <c r="Y50" s="279">
        <f t="shared" si="33"/>
        <v>-8.5974560519590359E-3</v>
      </c>
      <c r="Z50" s="282"/>
      <c r="AA50" s="281">
        <f t="shared" si="34"/>
        <v>68435.360000000001</v>
      </c>
      <c r="AB50" s="280">
        <f t="shared" si="35"/>
        <v>-588.36999999999534</v>
      </c>
      <c r="AC50" s="279">
        <f t="shared" si="36"/>
        <v>-8.5974560519590359E-3</v>
      </c>
      <c r="AD50" s="278"/>
      <c r="AE50" s="323"/>
    </row>
    <row r="51" spans="1:32" ht="15.75" x14ac:dyDescent="0.25">
      <c r="A51" s="145" t="s">
        <v>55</v>
      </c>
      <c r="B51" s="281">
        <v>0</v>
      </c>
      <c r="C51" s="637"/>
      <c r="D51" s="280">
        <f t="shared" si="25"/>
        <v>0</v>
      </c>
      <c r="E51" s="279" t="str">
        <f t="shared" si="26"/>
        <v>-</v>
      </c>
      <c r="F51" s="282"/>
      <c r="G51" s="281">
        <v>0</v>
      </c>
      <c r="H51" s="280">
        <v>0</v>
      </c>
      <c r="I51" s="280">
        <f t="shared" si="27"/>
        <v>0</v>
      </c>
      <c r="J51" s="279" t="str">
        <f t="shared" si="28"/>
        <v>-</v>
      </c>
      <c r="K51" s="282"/>
      <c r="L51" s="281"/>
      <c r="M51" s="280"/>
      <c r="N51" s="280"/>
      <c r="O51" s="279"/>
      <c r="P51" s="282"/>
      <c r="Q51" s="281">
        <v>0</v>
      </c>
      <c r="R51" s="280">
        <v>0</v>
      </c>
      <c r="S51" s="280">
        <f t="shared" si="29"/>
        <v>0</v>
      </c>
      <c r="T51" s="279" t="str">
        <f t="shared" si="30"/>
        <v>-</v>
      </c>
      <c r="U51" s="282"/>
      <c r="V51" s="281">
        <f t="shared" si="37"/>
        <v>0</v>
      </c>
      <c r="W51" s="280">
        <f t="shared" si="31"/>
        <v>0</v>
      </c>
      <c r="X51" s="280">
        <f t="shared" si="32"/>
        <v>0</v>
      </c>
      <c r="Y51" s="279" t="str">
        <f t="shared" si="33"/>
        <v>-</v>
      </c>
      <c r="Z51" s="282"/>
      <c r="AA51" s="281">
        <f t="shared" si="34"/>
        <v>0</v>
      </c>
      <c r="AB51" s="280">
        <f t="shared" si="35"/>
        <v>0</v>
      </c>
      <c r="AC51" s="279" t="str">
        <f t="shared" si="36"/>
        <v>-</v>
      </c>
      <c r="AD51" s="278"/>
      <c r="AE51" s="277"/>
    </row>
    <row r="52" spans="1:32" ht="15.75" x14ac:dyDescent="0.25">
      <c r="A52" s="145" t="s">
        <v>56</v>
      </c>
      <c r="B52" s="281">
        <v>27450</v>
      </c>
      <c r="C52" s="637">
        <v>27225</v>
      </c>
      <c r="D52" s="280">
        <f t="shared" si="25"/>
        <v>225</v>
      </c>
      <c r="E52" s="279">
        <f t="shared" si="26"/>
        <v>8.1967213114754103E-3</v>
      </c>
      <c r="F52" s="282"/>
      <c r="G52" s="281">
        <v>22050</v>
      </c>
      <c r="H52" s="280">
        <v>20775</v>
      </c>
      <c r="I52" s="280">
        <f t="shared" si="27"/>
        <v>1275</v>
      </c>
      <c r="J52" s="279">
        <f t="shared" si="28"/>
        <v>5.7823129251700682E-2</v>
      </c>
      <c r="K52" s="282"/>
      <c r="L52" s="281"/>
      <c r="M52" s="280"/>
      <c r="N52" s="280"/>
      <c r="O52" s="279"/>
      <c r="P52" s="282"/>
      <c r="Q52" s="281">
        <v>0</v>
      </c>
      <c r="R52" s="280">
        <v>0</v>
      </c>
      <c r="S52" s="280">
        <f t="shared" si="29"/>
        <v>0</v>
      </c>
      <c r="T52" s="279" t="str">
        <f t="shared" si="30"/>
        <v>-</v>
      </c>
      <c r="U52" s="282"/>
      <c r="V52" s="281">
        <f t="shared" si="37"/>
        <v>49500</v>
      </c>
      <c r="W52" s="280">
        <f t="shared" si="31"/>
        <v>48000</v>
      </c>
      <c r="X52" s="280">
        <f t="shared" si="32"/>
        <v>1500</v>
      </c>
      <c r="Y52" s="279">
        <f t="shared" si="33"/>
        <v>3.0303030303030304E-2</v>
      </c>
      <c r="Z52" s="282"/>
      <c r="AA52" s="281">
        <f t="shared" si="34"/>
        <v>49500</v>
      </c>
      <c r="AB52" s="280">
        <v>0</v>
      </c>
      <c r="AC52" s="279">
        <f t="shared" si="36"/>
        <v>0</v>
      </c>
      <c r="AD52" s="278"/>
      <c r="AE52" s="277"/>
    </row>
    <row r="53" spans="1:32" ht="15.75" x14ac:dyDescent="0.25">
      <c r="A53" s="145" t="s">
        <v>57</v>
      </c>
      <c r="B53" s="281">
        <v>2400</v>
      </c>
      <c r="C53" s="637"/>
      <c r="D53" s="280">
        <f t="shared" si="25"/>
        <v>2400</v>
      </c>
      <c r="E53" s="325">
        <f t="shared" si="26"/>
        <v>1</v>
      </c>
      <c r="F53" s="282"/>
      <c r="G53" s="281">
        <v>0</v>
      </c>
      <c r="H53" s="280">
        <v>0</v>
      </c>
      <c r="I53" s="280">
        <f t="shared" si="27"/>
        <v>0</v>
      </c>
      <c r="J53" s="325" t="str">
        <f t="shared" si="28"/>
        <v>-</v>
      </c>
      <c r="K53" s="282"/>
      <c r="L53" s="281"/>
      <c r="M53" s="280"/>
      <c r="N53" s="280"/>
      <c r="O53" s="325"/>
      <c r="P53" s="282"/>
      <c r="Q53" s="281">
        <v>0</v>
      </c>
      <c r="R53" s="280">
        <v>0</v>
      </c>
      <c r="S53" s="280">
        <f t="shared" si="29"/>
        <v>0</v>
      </c>
      <c r="T53" s="325" t="str">
        <f t="shared" si="30"/>
        <v>-</v>
      </c>
      <c r="U53" s="282"/>
      <c r="V53" s="281">
        <f t="shared" si="37"/>
        <v>2400</v>
      </c>
      <c r="W53" s="280">
        <f t="shared" si="31"/>
        <v>0</v>
      </c>
      <c r="X53" s="280">
        <f t="shared" si="32"/>
        <v>2400</v>
      </c>
      <c r="Y53" s="325">
        <f t="shared" si="33"/>
        <v>1</v>
      </c>
      <c r="Z53" s="282"/>
      <c r="AA53" s="281">
        <f t="shared" si="34"/>
        <v>2400</v>
      </c>
      <c r="AB53" s="280">
        <f t="shared" ref="AB53:AB62" si="38">AA53-W53</f>
        <v>2400</v>
      </c>
      <c r="AC53" s="279">
        <f t="shared" si="36"/>
        <v>1</v>
      </c>
      <c r="AD53" s="278"/>
      <c r="AE53" s="323"/>
    </row>
    <row r="54" spans="1:32" ht="15.75" x14ac:dyDescent="0.25">
      <c r="A54" s="145" t="s">
        <v>58</v>
      </c>
      <c r="B54" s="281">
        <v>0</v>
      </c>
      <c r="C54" s="637"/>
      <c r="D54" s="280">
        <f t="shared" si="25"/>
        <v>0</v>
      </c>
      <c r="E54" s="325" t="str">
        <f t="shared" si="26"/>
        <v>-</v>
      </c>
      <c r="F54" s="282"/>
      <c r="G54" s="281">
        <v>0</v>
      </c>
      <c r="H54" s="280">
        <v>0</v>
      </c>
      <c r="I54" s="280">
        <f t="shared" si="27"/>
        <v>0</v>
      </c>
      <c r="J54" s="325" t="str">
        <f t="shared" si="28"/>
        <v>-</v>
      </c>
      <c r="K54" s="282"/>
      <c r="L54" s="281"/>
      <c r="M54" s="280"/>
      <c r="N54" s="280"/>
      <c r="O54" s="325"/>
      <c r="P54" s="282"/>
      <c r="Q54" s="281">
        <v>0</v>
      </c>
      <c r="R54" s="280">
        <v>0</v>
      </c>
      <c r="S54" s="280">
        <f t="shared" si="29"/>
        <v>0</v>
      </c>
      <c r="T54" s="325" t="str">
        <f t="shared" si="30"/>
        <v>-</v>
      </c>
      <c r="U54" s="282"/>
      <c r="V54" s="281">
        <f t="shared" si="37"/>
        <v>0</v>
      </c>
      <c r="W54" s="280">
        <f t="shared" si="31"/>
        <v>0</v>
      </c>
      <c r="X54" s="280">
        <f t="shared" si="32"/>
        <v>0</v>
      </c>
      <c r="Y54" s="325" t="str">
        <f t="shared" si="33"/>
        <v>-</v>
      </c>
      <c r="Z54" s="282"/>
      <c r="AA54" s="281">
        <f t="shared" si="34"/>
        <v>0</v>
      </c>
      <c r="AB54" s="280">
        <f t="shared" si="38"/>
        <v>0</v>
      </c>
      <c r="AC54" s="279" t="str">
        <f t="shared" si="36"/>
        <v>-</v>
      </c>
      <c r="AD54" s="278"/>
      <c r="AE54" s="323"/>
    </row>
    <row r="55" spans="1:32" ht="15.75" x14ac:dyDescent="0.25">
      <c r="A55" s="145" t="s">
        <v>59</v>
      </c>
      <c r="B55" s="281">
        <v>2160</v>
      </c>
      <c r="C55" s="637">
        <v>1736.54</v>
      </c>
      <c r="D55" s="280">
        <f t="shared" si="25"/>
        <v>423.46000000000004</v>
      </c>
      <c r="E55" s="279">
        <f t="shared" si="26"/>
        <v>0.1960462962962963</v>
      </c>
      <c r="F55" s="282"/>
      <c r="G55" s="281">
        <v>720</v>
      </c>
      <c r="H55" s="280">
        <v>0</v>
      </c>
      <c r="I55" s="280">
        <f t="shared" si="27"/>
        <v>720</v>
      </c>
      <c r="J55" s="279">
        <f t="shared" si="28"/>
        <v>1</v>
      </c>
      <c r="K55" s="282"/>
      <c r="L55" s="281"/>
      <c r="M55" s="280"/>
      <c r="N55" s="280"/>
      <c r="O55" s="279"/>
      <c r="P55" s="282"/>
      <c r="Q55" s="281">
        <v>0</v>
      </c>
      <c r="R55" s="280">
        <v>0</v>
      </c>
      <c r="S55" s="280">
        <f t="shared" si="29"/>
        <v>0</v>
      </c>
      <c r="T55" s="279" t="str">
        <f t="shared" si="30"/>
        <v>-</v>
      </c>
      <c r="U55" s="282"/>
      <c r="V55" s="281">
        <f t="shared" si="37"/>
        <v>2880</v>
      </c>
      <c r="W55" s="280">
        <f t="shared" si="31"/>
        <v>1736.54</v>
      </c>
      <c r="X55" s="280">
        <f t="shared" si="32"/>
        <v>1143.46</v>
      </c>
      <c r="Y55" s="279">
        <f t="shared" si="33"/>
        <v>0.39703472222222225</v>
      </c>
      <c r="Z55" s="282"/>
      <c r="AA55" s="281">
        <f t="shared" si="34"/>
        <v>2880</v>
      </c>
      <c r="AB55" s="280">
        <f t="shared" si="38"/>
        <v>1143.46</v>
      </c>
      <c r="AC55" s="279">
        <f t="shared" si="36"/>
        <v>0.39703472222222225</v>
      </c>
      <c r="AD55" s="278"/>
      <c r="AE55" s="277"/>
    </row>
    <row r="56" spans="1:32" ht="15.75" x14ac:dyDescent="0.25">
      <c r="A56" s="145" t="s">
        <v>60</v>
      </c>
      <c r="B56" s="281">
        <v>80686</v>
      </c>
      <c r="C56" s="637">
        <v>94458.17</v>
      </c>
      <c r="D56" s="280">
        <f t="shared" si="25"/>
        <v>-13772.169999999998</v>
      </c>
      <c r="E56" s="279">
        <f t="shared" si="26"/>
        <v>-0.17068847135810422</v>
      </c>
      <c r="F56" s="282"/>
      <c r="G56" s="281">
        <v>170361.7</v>
      </c>
      <c r="H56" s="280">
        <v>171526.92</v>
      </c>
      <c r="I56" s="280">
        <f t="shared" si="27"/>
        <v>-1165.2200000000012</v>
      </c>
      <c r="J56" s="279">
        <f t="shared" si="28"/>
        <v>-6.839682862990925E-3</v>
      </c>
      <c r="K56" s="282"/>
      <c r="L56" s="281"/>
      <c r="M56" s="280"/>
      <c r="N56" s="280"/>
      <c r="O56" s="279"/>
      <c r="P56" s="282"/>
      <c r="Q56" s="281">
        <v>0</v>
      </c>
      <c r="R56" s="280">
        <v>0</v>
      </c>
      <c r="S56" s="280">
        <f t="shared" si="29"/>
        <v>0</v>
      </c>
      <c r="T56" s="279" t="str">
        <f t="shared" si="30"/>
        <v>-</v>
      </c>
      <c r="U56" s="282"/>
      <c r="V56" s="281">
        <f t="shared" si="37"/>
        <v>251047.7</v>
      </c>
      <c r="W56" s="280">
        <f t="shared" si="31"/>
        <v>265985.09000000003</v>
      </c>
      <c r="X56" s="280">
        <f t="shared" si="32"/>
        <v>-14937.390000000014</v>
      </c>
      <c r="Y56" s="279">
        <f t="shared" si="33"/>
        <v>-5.9500206534455459E-2</v>
      </c>
      <c r="Z56" s="282"/>
      <c r="AA56" s="281">
        <f t="shared" si="34"/>
        <v>251047.7</v>
      </c>
      <c r="AB56" s="280">
        <f t="shared" si="38"/>
        <v>-14937.390000000014</v>
      </c>
      <c r="AC56" s="279">
        <f t="shared" si="36"/>
        <v>-5.9500206534455459E-2</v>
      </c>
      <c r="AD56" s="278"/>
      <c r="AE56" s="277"/>
    </row>
    <row r="57" spans="1:32" ht="15.75" x14ac:dyDescent="0.25">
      <c r="A57" s="145" t="s">
        <v>61</v>
      </c>
      <c r="B57" s="281">
        <v>3240</v>
      </c>
      <c r="C57" s="637">
        <v>10154.820000000002</v>
      </c>
      <c r="D57" s="280">
        <f t="shared" si="25"/>
        <v>-6914.8200000000015</v>
      </c>
      <c r="E57" s="279">
        <f t="shared" si="26"/>
        <v>-2.134203703703704</v>
      </c>
      <c r="F57" s="287"/>
      <c r="G57" s="281">
        <v>18310</v>
      </c>
      <c r="H57" s="280">
        <v>0</v>
      </c>
      <c r="I57" s="280">
        <f t="shared" si="27"/>
        <v>18310</v>
      </c>
      <c r="J57" s="279">
        <f t="shared" si="28"/>
        <v>1</v>
      </c>
      <c r="K57" s="287"/>
      <c r="L57" s="281"/>
      <c r="M57" s="280"/>
      <c r="N57" s="280"/>
      <c r="O57" s="279"/>
      <c r="P57" s="287"/>
      <c r="Q57" s="281">
        <v>0</v>
      </c>
      <c r="R57" s="280">
        <v>0</v>
      </c>
      <c r="S57" s="280">
        <f t="shared" si="29"/>
        <v>0</v>
      </c>
      <c r="T57" s="279" t="str">
        <f t="shared" si="30"/>
        <v>-</v>
      </c>
      <c r="U57" s="287"/>
      <c r="V57" s="281">
        <f t="shared" si="37"/>
        <v>21550</v>
      </c>
      <c r="W57" s="280">
        <f t="shared" si="31"/>
        <v>10154.820000000002</v>
      </c>
      <c r="X57" s="280">
        <f t="shared" si="32"/>
        <v>11395.179999999998</v>
      </c>
      <c r="Y57" s="279">
        <f t="shared" si="33"/>
        <v>0.52877865429234328</v>
      </c>
      <c r="Z57" s="287"/>
      <c r="AA57" s="281">
        <f t="shared" si="34"/>
        <v>21550</v>
      </c>
      <c r="AB57" s="280">
        <f t="shared" si="38"/>
        <v>11395.179999999998</v>
      </c>
      <c r="AC57" s="279">
        <f t="shared" si="36"/>
        <v>0.52877865429234328</v>
      </c>
      <c r="AD57" s="286"/>
      <c r="AE57" s="277"/>
    </row>
    <row r="58" spans="1:32" ht="15.75" x14ac:dyDescent="0.25">
      <c r="A58" s="145" t="s">
        <v>62</v>
      </c>
      <c r="B58" s="281">
        <v>0</v>
      </c>
      <c r="C58" s="637"/>
      <c r="D58" s="280">
        <f t="shared" si="25"/>
        <v>0</v>
      </c>
      <c r="E58" s="279" t="str">
        <f t="shared" si="26"/>
        <v>-</v>
      </c>
      <c r="F58" s="287"/>
      <c r="G58" s="281">
        <v>0</v>
      </c>
      <c r="H58" s="280">
        <v>0</v>
      </c>
      <c r="I58" s="280">
        <f t="shared" si="27"/>
        <v>0</v>
      </c>
      <c r="J58" s="279" t="str">
        <f t="shared" si="28"/>
        <v>-</v>
      </c>
      <c r="K58" s="287"/>
      <c r="L58" s="281"/>
      <c r="M58" s="280"/>
      <c r="N58" s="280"/>
      <c r="O58" s="279"/>
      <c r="P58" s="287"/>
      <c r="Q58" s="281">
        <v>0</v>
      </c>
      <c r="R58" s="280">
        <v>0</v>
      </c>
      <c r="S58" s="280">
        <f t="shared" si="29"/>
        <v>0</v>
      </c>
      <c r="T58" s="279" t="str">
        <f t="shared" si="30"/>
        <v>-</v>
      </c>
      <c r="U58" s="287"/>
      <c r="V58" s="281">
        <f t="shared" si="37"/>
        <v>0</v>
      </c>
      <c r="W58" s="280">
        <f t="shared" si="31"/>
        <v>0</v>
      </c>
      <c r="X58" s="280">
        <f t="shared" si="32"/>
        <v>0</v>
      </c>
      <c r="Y58" s="279" t="str">
        <f t="shared" si="33"/>
        <v>-</v>
      </c>
      <c r="Z58" s="287"/>
      <c r="AA58" s="281">
        <f t="shared" si="34"/>
        <v>0</v>
      </c>
      <c r="AB58" s="280">
        <f t="shared" si="38"/>
        <v>0</v>
      </c>
      <c r="AC58" s="279" t="str">
        <f t="shared" si="36"/>
        <v>-</v>
      </c>
      <c r="AD58" s="286"/>
      <c r="AE58" s="277"/>
    </row>
    <row r="59" spans="1:32" ht="15.75" x14ac:dyDescent="0.25">
      <c r="A59" s="145" t="s">
        <v>63</v>
      </c>
      <c r="B59" s="281">
        <v>54850</v>
      </c>
      <c r="C59" s="637">
        <v>57838.360000000008</v>
      </c>
      <c r="D59" s="280">
        <f t="shared" si="25"/>
        <v>-2988.3600000000079</v>
      </c>
      <c r="E59" s="279">
        <f t="shared" si="26"/>
        <v>-5.4482406563354749E-2</v>
      </c>
      <c r="F59" s="287"/>
      <c r="G59" s="281">
        <v>32348.980000000003</v>
      </c>
      <c r="H59" s="280">
        <v>19764.330000000002</v>
      </c>
      <c r="I59" s="280">
        <f t="shared" si="27"/>
        <v>12584.650000000001</v>
      </c>
      <c r="J59" s="279">
        <f t="shared" si="28"/>
        <v>0.38902772204873232</v>
      </c>
      <c r="K59" s="287"/>
      <c r="L59" s="281"/>
      <c r="M59" s="280"/>
      <c r="N59" s="280"/>
      <c r="O59" s="279"/>
      <c r="P59" s="287"/>
      <c r="Q59" s="281">
        <v>0</v>
      </c>
      <c r="R59" s="280">
        <v>0</v>
      </c>
      <c r="S59" s="280">
        <f t="shared" si="29"/>
        <v>0</v>
      </c>
      <c r="T59" s="279" t="str">
        <f t="shared" si="30"/>
        <v>-</v>
      </c>
      <c r="U59" s="287"/>
      <c r="V59" s="281">
        <f t="shared" si="37"/>
        <v>87198.98000000001</v>
      </c>
      <c r="W59" s="280">
        <f t="shared" si="31"/>
        <v>77602.69</v>
      </c>
      <c r="X59" s="280">
        <f t="shared" si="32"/>
        <v>9596.2900000000081</v>
      </c>
      <c r="Y59" s="279">
        <f t="shared" si="33"/>
        <v>0.11005048453548433</v>
      </c>
      <c r="Z59" s="287"/>
      <c r="AA59" s="281">
        <f t="shared" si="34"/>
        <v>87198.98000000001</v>
      </c>
      <c r="AB59" s="280">
        <f t="shared" si="38"/>
        <v>9596.2900000000081</v>
      </c>
      <c r="AC59" s="279">
        <f t="shared" si="36"/>
        <v>0.11005048453548433</v>
      </c>
      <c r="AD59" s="286"/>
      <c r="AE59" s="277"/>
    </row>
    <row r="60" spans="1:32" s="276" customFormat="1" ht="15.75" x14ac:dyDescent="0.25">
      <c r="A60" s="270" t="s">
        <v>64</v>
      </c>
      <c r="B60" s="281">
        <v>36600</v>
      </c>
      <c r="C60" s="637">
        <v>45826.63</v>
      </c>
      <c r="D60" s="280">
        <f t="shared" si="25"/>
        <v>-9226.6299999999974</v>
      </c>
      <c r="E60" s="279">
        <f t="shared" si="26"/>
        <v>-0.25209371584699447</v>
      </c>
      <c r="F60" s="287"/>
      <c r="G60" s="281">
        <v>7104.9100000000008</v>
      </c>
      <c r="H60" s="280">
        <v>16151.630000000001</v>
      </c>
      <c r="I60" s="280">
        <f t="shared" si="27"/>
        <v>-9046.7200000000012</v>
      </c>
      <c r="J60" s="279">
        <f t="shared" si="28"/>
        <v>-1.2733053620665147</v>
      </c>
      <c r="K60" s="287"/>
      <c r="L60" s="281"/>
      <c r="M60" s="280"/>
      <c r="N60" s="280"/>
      <c r="O60" s="279"/>
      <c r="P60" s="287"/>
      <c r="Q60" s="281">
        <v>0</v>
      </c>
      <c r="R60" s="280">
        <v>0</v>
      </c>
      <c r="S60" s="280">
        <f t="shared" si="29"/>
        <v>0</v>
      </c>
      <c r="T60" s="279" t="str">
        <f t="shared" si="30"/>
        <v>-</v>
      </c>
      <c r="U60" s="287"/>
      <c r="V60" s="281">
        <f t="shared" si="37"/>
        <v>43704.91</v>
      </c>
      <c r="W60" s="280">
        <f t="shared" si="31"/>
        <v>61978.259999999995</v>
      </c>
      <c r="X60" s="280">
        <f t="shared" si="32"/>
        <v>-18273.349999999991</v>
      </c>
      <c r="Y60" s="279">
        <f t="shared" si="33"/>
        <v>-0.41810748494848726</v>
      </c>
      <c r="Z60" s="287"/>
      <c r="AA60" s="281">
        <f t="shared" si="34"/>
        <v>43704.91</v>
      </c>
      <c r="AB60" s="280">
        <f t="shared" si="38"/>
        <v>-18273.349999999991</v>
      </c>
      <c r="AC60" s="279">
        <f t="shared" si="36"/>
        <v>-0.41810748494848726</v>
      </c>
      <c r="AD60" s="286"/>
      <c r="AE60" s="277"/>
    </row>
    <row r="61" spans="1:32" ht="15.75" x14ac:dyDescent="0.25">
      <c r="A61" s="145" t="s">
        <v>157</v>
      </c>
      <c r="B61" s="281">
        <f>144600+23000</f>
        <v>167600</v>
      </c>
      <c r="C61" s="637">
        <f>17331+72133.31</f>
        <v>89464.31</v>
      </c>
      <c r="D61" s="280">
        <f t="shared" si="25"/>
        <v>78135.69</v>
      </c>
      <c r="E61" s="279">
        <f t="shared" si="26"/>
        <v>0.46620340095465396</v>
      </c>
      <c r="F61" s="282"/>
      <c r="G61" s="281">
        <f>2000+23044.78</f>
        <v>25044.78</v>
      </c>
      <c r="H61" s="280">
        <f>645+22208.99</f>
        <v>22853.99</v>
      </c>
      <c r="I61" s="280">
        <f t="shared" si="27"/>
        <v>2190.7899999999972</v>
      </c>
      <c r="J61" s="279">
        <f t="shared" si="28"/>
        <v>8.7474914932373027E-2</v>
      </c>
      <c r="K61" s="282"/>
      <c r="L61" s="281"/>
      <c r="M61" s="280"/>
      <c r="N61" s="280"/>
      <c r="O61" s="279"/>
      <c r="P61" s="282"/>
      <c r="Q61" s="281">
        <v>0</v>
      </c>
      <c r="R61" s="280">
        <v>0</v>
      </c>
      <c r="S61" s="280">
        <f t="shared" si="29"/>
        <v>0</v>
      </c>
      <c r="T61" s="279" t="str">
        <f t="shared" si="30"/>
        <v>-</v>
      </c>
      <c r="U61" s="282"/>
      <c r="V61" s="281">
        <f t="shared" si="37"/>
        <v>192644.78</v>
      </c>
      <c r="W61" s="280">
        <f t="shared" si="31"/>
        <v>112318.3</v>
      </c>
      <c r="X61" s="280">
        <f t="shared" si="32"/>
        <v>80326.48</v>
      </c>
      <c r="Y61" s="279">
        <f t="shared" si="33"/>
        <v>0.41696681321964707</v>
      </c>
      <c r="Z61" s="282"/>
      <c r="AA61" s="281">
        <f t="shared" si="34"/>
        <v>192644.78</v>
      </c>
      <c r="AB61" s="280">
        <f t="shared" si="38"/>
        <v>80326.48</v>
      </c>
      <c r="AC61" s="279">
        <f t="shared" si="36"/>
        <v>0.41696681321964707</v>
      </c>
      <c r="AD61" s="278"/>
      <c r="AE61" s="277"/>
    </row>
    <row r="62" spans="1:32" ht="15.75" x14ac:dyDescent="0.25">
      <c r="A62" s="145" t="s">
        <v>66</v>
      </c>
      <c r="B62" s="281">
        <v>21900</v>
      </c>
      <c r="C62" s="637">
        <v>2509.71</v>
      </c>
      <c r="D62" s="280">
        <f t="shared" si="25"/>
        <v>19390.29</v>
      </c>
      <c r="E62" s="279">
        <f t="shared" si="26"/>
        <v>0.88540136986301377</v>
      </c>
      <c r="F62" s="282"/>
      <c r="G62" s="281">
        <v>13400</v>
      </c>
      <c r="H62" s="280">
        <v>12065.2</v>
      </c>
      <c r="I62" s="280">
        <f t="shared" si="27"/>
        <v>1334.7999999999993</v>
      </c>
      <c r="J62" s="279">
        <f t="shared" si="28"/>
        <v>9.9611940298507409E-2</v>
      </c>
      <c r="K62" s="282"/>
      <c r="L62" s="281"/>
      <c r="M62" s="280"/>
      <c r="N62" s="280"/>
      <c r="O62" s="325"/>
      <c r="P62" s="282"/>
      <c r="Q62" s="281">
        <v>0</v>
      </c>
      <c r="R62" s="280">
        <v>0</v>
      </c>
      <c r="S62" s="280">
        <f t="shared" si="29"/>
        <v>0</v>
      </c>
      <c r="T62" s="325" t="str">
        <f t="shared" si="30"/>
        <v>-</v>
      </c>
      <c r="U62" s="282"/>
      <c r="V62" s="281">
        <f t="shared" si="37"/>
        <v>35300</v>
      </c>
      <c r="W62" s="280">
        <f t="shared" si="31"/>
        <v>14574.91</v>
      </c>
      <c r="X62" s="280">
        <f t="shared" si="32"/>
        <v>20725.09</v>
      </c>
      <c r="Y62" s="325">
        <f t="shared" si="33"/>
        <v>0.58711303116147306</v>
      </c>
      <c r="Z62" s="282"/>
      <c r="AA62" s="281">
        <f t="shared" si="34"/>
        <v>35300</v>
      </c>
      <c r="AB62" s="280">
        <f t="shared" si="38"/>
        <v>20725.09</v>
      </c>
      <c r="AC62" s="279">
        <f t="shared" si="36"/>
        <v>0.58711303116147306</v>
      </c>
      <c r="AD62" s="278"/>
      <c r="AE62" s="323"/>
    </row>
    <row r="63" spans="1:32" ht="15.75" x14ac:dyDescent="0.25">
      <c r="A63" s="145" t="s">
        <v>67</v>
      </c>
      <c r="B63" s="281"/>
      <c r="C63" s="637"/>
      <c r="D63" s="280"/>
      <c r="E63" s="279"/>
      <c r="F63" s="282"/>
      <c r="G63" s="281"/>
      <c r="H63" s="280"/>
      <c r="I63" s="280"/>
      <c r="J63" s="279"/>
      <c r="K63" s="282"/>
      <c r="L63" s="281"/>
      <c r="M63" s="280"/>
      <c r="N63" s="280"/>
      <c r="O63" s="325"/>
      <c r="P63" s="282"/>
      <c r="Q63" s="281"/>
      <c r="R63" s="280"/>
      <c r="S63" s="280"/>
      <c r="T63" s="325"/>
      <c r="U63" s="282"/>
      <c r="V63" s="281"/>
      <c r="W63" s="280"/>
      <c r="X63" s="280"/>
      <c r="Y63" s="325"/>
      <c r="Z63" s="282"/>
      <c r="AA63" s="281">
        <f t="shared" si="34"/>
        <v>0</v>
      </c>
      <c r="AB63" s="280"/>
      <c r="AC63" s="279" t="str">
        <f t="shared" si="36"/>
        <v>-</v>
      </c>
      <c r="AD63" s="278"/>
      <c r="AE63" s="323"/>
    </row>
    <row r="64" spans="1:32" ht="15.75" x14ac:dyDescent="0.25">
      <c r="A64" s="145" t="s">
        <v>158</v>
      </c>
      <c r="B64" s="281">
        <v>45000</v>
      </c>
      <c r="C64" s="637">
        <v>571333.30000000005</v>
      </c>
      <c r="D64" s="280">
        <f>B64-C64</f>
        <v>-526333.30000000005</v>
      </c>
      <c r="E64" s="279">
        <f>IF(ISERROR(D64/B64),"-",D64/B64)</f>
        <v>-11.696295555555556</v>
      </c>
      <c r="F64" s="282"/>
      <c r="G64" s="281">
        <v>91589.08</v>
      </c>
      <c r="H64" s="280">
        <v>327397.51999999996</v>
      </c>
      <c r="I64" s="280">
        <f>G64-H64</f>
        <v>-235808.43999999994</v>
      </c>
      <c r="J64" s="279">
        <f>IF(ISERROR(I64/G64),"-",I64/G64)</f>
        <v>-2.5746348800533858</v>
      </c>
      <c r="K64" s="282"/>
      <c r="L64" s="281"/>
      <c r="M64" s="280"/>
      <c r="N64" s="280"/>
      <c r="O64" s="279"/>
      <c r="P64" s="282"/>
      <c r="Q64" s="281">
        <v>0</v>
      </c>
      <c r="R64" s="280">
        <v>0</v>
      </c>
      <c r="S64" s="280">
        <f>Q64-R64</f>
        <v>0</v>
      </c>
      <c r="T64" s="279" t="str">
        <f>IF(ISERROR(S64/Q64),"-",S64/Q64)</f>
        <v>-</v>
      </c>
      <c r="U64" s="282"/>
      <c r="V64" s="281">
        <f t="shared" ref="V64:W66" si="39">B64+G64+L64+Q64</f>
        <v>136589.08000000002</v>
      </c>
      <c r="W64" s="280">
        <f t="shared" si="39"/>
        <v>898730.82000000007</v>
      </c>
      <c r="X64" s="280">
        <f>V64-W64</f>
        <v>-762141.74</v>
      </c>
      <c r="Y64" s="279">
        <f>IF(ISERROR(X64/V64),"-",X64/V64)</f>
        <v>-5.5798145796135383</v>
      </c>
      <c r="Z64" s="282"/>
      <c r="AA64" s="281">
        <f t="shared" si="34"/>
        <v>136589.08000000002</v>
      </c>
      <c r="AB64" s="280">
        <f>AA64-W64</f>
        <v>-762141.74</v>
      </c>
      <c r="AC64" s="279">
        <f t="shared" si="36"/>
        <v>-5.5798145796135383</v>
      </c>
      <c r="AD64" s="278"/>
      <c r="AE64" s="277"/>
      <c r="AF64" s="655"/>
    </row>
    <row r="65" spans="1:31" ht="15.75" x14ac:dyDescent="0.25">
      <c r="A65" s="145" t="s">
        <v>159</v>
      </c>
      <c r="B65" s="281"/>
      <c r="C65" s="637">
        <v>101613.96</v>
      </c>
      <c r="D65" s="280">
        <f>B65-C65</f>
        <v>-101613.96</v>
      </c>
      <c r="E65" s="279" t="str">
        <f>IF(ISERROR(D65/B65),"-",D65/B65)</f>
        <v>-</v>
      </c>
      <c r="F65" s="287"/>
      <c r="G65" s="654">
        <v>67742.64</v>
      </c>
      <c r="H65" s="653">
        <v>101613.95999999999</v>
      </c>
      <c r="I65" s="280">
        <f>G65-H65</f>
        <v>-33871.319999999992</v>
      </c>
      <c r="J65" s="279">
        <f>IF(ISERROR(I65/G65),"-",I65/G65)</f>
        <v>-0.49999999999999989</v>
      </c>
      <c r="K65" s="287"/>
      <c r="L65" s="281"/>
      <c r="M65" s="280"/>
      <c r="N65" s="280"/>
      <c r="O65" s="325"/>
      <c r="P65" s="287"/>
      <c r="Q65" s="281">
        <v>0</v>
      </c>
      <c r="R65" s="280">
        <v>0</v>
      </c>
      <c r="S65" s="280">
        <f>Q65-R65</f>
        <v>0</v>
      </c>
      <c r="T65" s="325" t="str">
        <f>IF(ISERROR(S65/Q65),"-",S65/Q65)</f>
        <v>-</v>
      </c>
      <c r="U65" s="287"/>
      <c r="V65" s="281">
        <f t="shared" si="39"/>
        <v>67742.64</v>
      </c>
      <c r="W65" s="280">
        <f t="shared" si="39"/>
        <v>203227.91999999998</v>
      </c>
      <c r="X65" s="280">
        <f>V65-W65</f>
        <v>-135485.27999999997</v>
      </c>
      <c r="Y65" s="325">
        <f>IF(ISERROR(X65/V65),"-",X65/V65)</f>
        <v>-1.9999999999999996</v>
      </c>
      <c r="Z65" s="287"/>
      <c r="AA65" s="281">
        <f t="shared" si="34"/>
        <v>67742.64</v>
      </c>
      <c r="AB65" s="280">
        <f>AA65-W65</f>
        <v>-135485.27999999997</v>
      </c>
      <c r="AC65" s="279">
        <f t="shared" si="36"/>
        <v>-1.9999999999999996</v>
      </c>
      <c r="AD65" s="286"/>
      <c r="AE65" s="323"/>
    </row>
    <row r="66" spans="1:31" ht="15.75" x14ac:dyDescent="0.25">
      <c r="A66" s="145" t="s">
        <v>69</v>
      </c>
      <c r="B66" s="651">
        <v>6300</v>
      </c>
      <c r="C66" s="636">
        <v>2073.1999999999998</v>
      </c>
      <c r="D66" s="650">
        <f>B66-C66</f>
        <v>4226.8</v>
      </c>
      <c r="E66" s="829">
        <f>IF(ISERROR(D66/B66),"-",D66/B66)</f>
        <v>0.67092063492063492</v>
      </c>
      <c r="F66" s="287"/>
      <c r="G66" s="651">
        <v>2100</v>
      </c>
      <c r="H66" s="650">
        <v>1827.98</v>
      </c>
      <c r="I66" s="650">
        <f>G66-H66</f>
        <v>272.02</v>
      </c>
      <c r="J66" s="279">
        <f>IF(ISERROR(I66/G66),"-",I66/G66)</f>
        <v>0.12953333333333333</v>
      </c>
      <c r="K66" s="287"/>
      <c r="L66" s="651"/>
      <c r="M66" s="650"/>
      <c r="N66" s="280"/>
      <c r="O66" s="325"/>
      <c r="P66" s="287"/>
      <c r="Q66" s="651"/>
      <c r="R66" s="650"/>
      <c r="S66" s="650"/>
      <c r="T66" s="652"/>
      <c r="U66" s="287"/>
      <c r="V66" s="651">
        <f t="shared" si="39"/>
        <v>8400</v>
      </c>
      <c r="W66" s="650">
        <f t="shared" si="39"/>
        <v>3901.18</v>
      </c>
      <c r="X66" s="650">
        <f>V66-W66</f>
        <v>4498.82</v>
      </c>
      <c r="Y66" s="649">
        <f>IF(ISERROR(X66/V66),"-",X66/V66)</f>
        <v>0.53557380952380951</v>
      </c>
      <c r="Z66" s="287"/>
      <c r="AA66" s="824">
        <f t="shared" si="34"/>
        <v>8400</v>
      </c>
      <c r="AB66" s="650">
        <f>AA66-W66</f>
        <v>4498.82</v>
      </c>
      <c r="AC66" s="279">
        <f t="shared" si="36"/>
        <v>0.53557380952380951</v>
      </c>
      <c r="AD66" s="286"/>
      <c r="AE66" s="323"/>
    </row>
    <row r="67" spans="1:31" ht="15.75" x14ac:dyDescent="0.25">
      <c r="A67" s="145" t="s">
        <v>71</v>
      </c>
      <c r="B67" s="281"/>
      <c r="C67" s="637"/>
      <c r="D67" s="280"/>
      <c r="E67" s="279"/>
      <c r="F67" s="287"/>
      <c r="G67" s="281"/>
      <c r="H67" s="280"/>
      <c r="I67" s="280"/>
      <c r="J67" s="279"/>
      <c r="K67" s="287"/>
      <c r="L67" s="281"/>
      <c r="M67" s="280"/>
      <c r="N67" s="280"/>
      <c r="O67" s="325"/>
      <c r="P67" s="287"/>
      <c r="Q67" s="281"/>
      <c r="R67" s="280"/>
      <c r="S67" s="280"/>
      <c r="T67" s="279"/>
      <c r="U67" s="287"/>
      <c r="V67" s="281"/>
      <c r="W67" s="280"/>
      <c r="X67" s="280"/>
      <c r="Y67" s="325"/>
      <c r="Z67" s="287"/>
      <c r="AA67" s="281"/>
      <c r="AB67" s="280"/>
      <c r="AC67" s="325"/>
      <c r="AD67" s="286"/>
      <c r="AE67" s="323"/>
    </row>
    <row r="68" spans="1:31" ht="15.75" x14ac:dyDescent="0.25">
      <c r="A68" s="145" t="s">
        <v>72</v>
      </c>
      <c r="B68" s="281">
        <v>96000</v>
      </c>
      <c r="C68" s="637">
        <v>229777.43</v>
      </c>
      <c r="D68" s="280">
        <f>B68-C68</f>
        <v>-133777.43</v>
      </c>
      <c r="E68" s="279">
        <f>IF(ISERROR(D68/B68),"-",D68/B68)</f>
        <v>-1.3935148958333332</v>
      </c>
      <c r="F68" s="282"/>
      <c r="G68" s="281">
        <v>79744.459999999992</v>
      </c>
      <c r="H68" s="280">
        <v>75966.69</v>
      </c>
      <c r="I68" s="280">
        <f>G68-H68</f>
        <v>3777.7699999999895</v>
      </c>
      <c r="J68" s="279">
        <f>IF(ISERROR(I68/G68),"-",I68/G68)</f>
        <v>4.7373447635108319E-2</v>
      </c>
      <c r="K68" s="282"/>
      <c r="L68" s="281"/>
      <c r="M68" s="280"/>
      <c r="N68" s="280"/>
      <c r="O68" s="325"/>
      <c r="P68" s="282"/>
      <c r="Q68" s="281">
        <v>0</v>
      </c>
      <c r="R68" s="280">
        <v>0</v>
      </c>
      <c r="S68" s="280">
        <f>Q68-R68</f>
        <v>0</v>
      </c>
      <c r="T68" s="325" t="str">
        <f>IF(ISERROR(S68/Q68),"-",S68/Q68)</f>
        <v>-</v>
      </c>
      <c r="U68" s="282"/>
      <c r="V68" s="281">
        <f>B68+G68+L68+Q68</f>
        <v>175744.46</v>
      </c>
      <c r="W68" s="280">
        <f>C68+H68+M68+R68</f>
        <v>305744.12</v>
      </c>
      <c r="X68" s="280">
        <f>V68-W68</f>
        <v>-129999.66</v>
      </c>
      <c r="Y68" s="325">
        <f>IF(ISERROR(X68/V68),"-",X68/V68)</f>
        <v>-0.7397084380355432</v>
      </c>
      <c r="Z68" s="282"/>
      <c r="AA68" s="281">
        <f t="shared" ref="AA68:AA73" si="40">+Q68+L68+G68+B68</f>
        <v>175744.46</v>
      </c>
      <c r="AB68" s="280">
        <f>AA68-W68</f>
        <v>-129999.66</v>
      </c>
      <c r="AC68" s="279">
        <f>IF(ISERROR(AB68/AA68),"-",AB68/AA68)</f>
        <v>-0.7397084380355432</v>
      </c>
      <c r="AD68" s="278"/>
      <c r="AE68" s="323"/>
    </row>
    <row r="69" spans="1:31" ht="15.75" x14ac:dyDescent="0.25">
      <c r="A69" s="145" t="s">
        <v>73</v>
      </c>
      <c r="B69" s="281">
        <v>0</v>
      </c>
      <c r="C69" s="637">
        <v>0</v>
      </c>
      <c r="D69" s="280">
        <f>B69-C69</f>
        <v>0</v>
      </c>
      <c r="E69" s="279" t="str">
        <f>IF(ISERROR(D69/B69),"-",D69/B69)</f>
        <v>-</v>
      </c>
      <c r="F69" s="282"/>
      <c r="G69" s="281">
        <v>100</v>
      </c>
      <c r="H69" s="280">
        <v>0</v>
      </c>
      <c r="I69" s="280">
        <f>G69-H69</f>
        <v>100</v>
      </c>
      <c r="J69" s="279">
        <f>IF(ISERROR(I69/G69),"-",I69/G69)</f>
        <v>1</v>
      </c>
      <c r="K69" s="282"/>
      <c r="L69" s="281"/>
      <c r="M69" s="280"/>
      <c r="N69" s="280"/>
      <c r="O69" s="325"/>
      <c r="P69" s="282"/>
      <c r="Q69" s="281">
        <v>0</v>
      </c>
      <c r="R69" s="280">
        <v>0</v>
      </c>
      <c r="S69" s="280">
        <f>Q69-R69</f>
        <v>0</v>
      </c>
      <c r="T69" s="279" t="str">
        <f>IF(ISERROR(S69/Q69),"-",S69/Q69)</f>
        <v>-</v>
      </c>
      <c r="U69" s="282"/>
      <c r="V69" s="281">
        <f>B69+G69+L69+Q69</f>
        <v>100</v>
      </c>
      <c r="W69" s="280">
        <f>C69+H69+M69+R69</f>
        <v>0</v>
      </c>
      <c r="X69" s="280">
        <f>V69-W69</f>
        <v>100</v>
      </c>
      <c r="Y69" s="279">
        <f>IF(ISERROR(X69/V69),"-",X69/V69)</f>
        <v>1</v>
      </c>
      <c r="Z69" s="282"/>
      <c r="AA69" s="281">
        <f t="shared" si="40"/>
        <v>100</v>
      </c>
      <c r="AB69" s="280">
        <f>AA69-W69</f>
        <v>100</v>
      </c>
      <c r="AC69" s="279">
        <f>IF(ISERROR(AB69/AA69),"-",AB69/AA69)</f>
        <v>1</v>
      </c>
      <c r="AD69" s="278"/>
      <c r="AE69" s="277"/>
    </row>
    <row r="70" spans="1:31" ht="15.75" x14ac:dyDescent="0.25">
      <c r="A70" s="145" t="s">
        <v>74</v>
      </c>
      <c r="B70" s="281"/>
      <c r="C70" s="637"/>
      <c r="D70" s="280"/>
      <c r="E70" s="279"/>
      <c r="F70" s="282"/>
      <c r="G70" s="281"/>
      <c r="H70" s="280"/>
      <c r="I70" s="280"/>
      <c r="J70" s="279"/>
      <c r="K70" s="282"/>
      <c r="L70" s="281"/>
      <c r="M70" s="280"/>
      <c r="N70" s="280"/>
      <c r="O70" s="325"/>
      <c r="P70" s="282"/>
      <c r="Q70" s="281"/>
      <c r="R70" s="280"/>
      <c r="S70" s="280"/>
      <c r="T70" s="279"/>
      <c r="U70" s="282"/>
      <c r="V70" s="281"/>
      <c r="W70" s="280"/>
      <c r="X70" s="280"/>
      <c r="Y70" s="279"/>
      <c r="Z70" s="282"/>
      <c r="AA70" s="281">
        <f t="shared" si="40"/>
        <v>0</v>
      </c>
      <c r="AB70" s="280"/>
      <c r="AC70" s="279" t="str">
        <f t="shared" ref="AC70:AC74" si="41">IF(ISERROR(AB70/AA70),"-",AB70/AA70)</f>
        <v>-</v>
      </c>
      <c r="AD70" s="278"/>
      <c r="AE70" s="277"/>
    </row>
    <row r="71" spans="1:31" ht="15.75" x14ac:dyDescent="0.25">
      <c r="A71" s="145" t="s">
        <v>75</v>
      </c>
      <c r="B71" s="281">
        <v>35900</v>
      </c>
      <c r="C71" s="637">
        <v>114251.34</v>
      </c>
      <c r="D71" s="280">
        <f>B71-C71</f>
        <v>-78351.34</v>
      </c>
      <c r="E71" s="279">
        <f>IF(ISERROR(D71/B71),"-",D71/B71)</f>
        <v>-2.1824885793871864</v>
      </c>
      <c r="F71" s="287"/>
      <c r="G71" s="281">
        <v>9700</v>
      </c>
      <c r="H71" s="280">
        <v>18247.02</v>
      </c>
      <c r="I71" s="280">
        <f>G71-H71</f>
        <v>-8547.02</v>
      </c>
      <c r="J71" s="279">
        <f>IF(ISERROR(I71/G71),"-",I71/G71)</f>
        <v>-0.88113608247422681</v>
      </c>
      <c r="K71" s="287"/>
      <c r="L71" s="281"/>
      <c r="M71" s="280"/>
      <c r="N71" s="280"/>
      <c r="O71" s="279"/>
      <c r="P71" s="287"/>
      <c r="Q71" s="281">
        <v>0</v>
      </c>
      <c r="R71" s="280">
        <v>0</v>
      </c>
      <c r="S71" s="280">
        <f>Q71-R71</f>
        <v>0</v>
      </c>
      <c r="T71" s="279" t="str">
        <f>IF(ISERROR(S71/Q71),"-",S71/Q71)</f>
        <v>-</v>
      </c>
      <c r="U71" s="287"/>
      <c r="V71" s="281">
        <f t="shared" ref="V71:W74" si="42">B71+G71+L71+Q71</f>
        <v>45600</v>
      </c>
      <c r="W71" s="280">
        <f t="shared" si="42"/>
        <v>132498.35999999999</v>
      </c>
      <c r="X71" s="280">
        <f>V71-W71</f>
        <v>-86898.359999999986</v>
      </c>
      <c r="Y71" s="279">
        <f>IF(ISERROR(X71/V71),"-",X71/V71)</f>
        <v>-1.9056657894736839</v>
      </c>
      <c r="Z71" s="287"/>
      <c r="AA71" s="281">
        <f t="shared" si="40"/>
        <v>45600</v>
      </c>
      <c r="AB71" s="280">
        <f>AA71-W71</f>
        <v>-86898.359999999986</v>
      </c>
      <c r="AC71" s="279">
        <f t="shared" si="41"/>
        <v>-1.9056657894736839</v>
      </c>
      <c r="AD71" s="286"/>
      <c r="AE71" s="277"/>
    </row>
    <row r="72" spans="1:31" ht="15.75" x14ac:dyDescent="0.25">
      <c r="A72" s="145" t="s">
        <v>76</v>
      </c>
      <c r="B72" s="281">
        <v>29000</v>
      </c>
      <c r="C72" s="637">
        <v>19349.91</v>
      </c>
      <c r="D72" s="280">
        <f>B72-C72</f>
        <v>9650.09</v>
      </c>
      <c r="E72" s="279">
        <f>IF(ISERROR(D72/B72),"-",D72/B72)</f>
        <v>0.33276172413793104</v>
      </c>
      <c r="F72" s="282"/>
      <c r="G72" s="281">
        <v>43293.279999999999</v>
      </c>
      <c r="H72" s="280">
        <v>23242.84</v>
      </c>
      <c r="I72" s="280">
        <f>G72-H72</f>
        <v>20050.439999999999</v>
      </c>
      <c r="J72" s="279">
        <f>IF(ISERROR(I72/G72),"-",I72/G72)</f>
        <v>0.46313053665603526</v>
      </c>
      <c r="K72" s="282"/>
      <c r="L72" s="281"/>
      <c r="M72" s="280"/>
      <c r="N72" s="280"/>
      <c r="O72" s="279"/>
      <c r="P72" s="282"/>
      <c r="Q72" s="281">
        <v>0</v>
      </c>
      <c r="R72" s="280">
        <v>0</v>
      </c>
      <c r="S72" s="280">
        <f>Q72-R72</f>
        <v>0</v>
      </c>
      <c r="T72" s="279" t="str">
        <f>IF(ISERROR(S72/Q72),"-",S72/Q72)</f>
        <v>-</v>
      </c>
      <c r="U72" s="282"/>
      <c r="V72" s="281">
        <f t="shared" si="42"/>
        <v>72293.279999999999</v>
      </c>
      <c r="W72" s="280">
        <f t="shared" si="42"/>
        <v>42592.75</v>
      </c>
      <c r="X72" s="280">
        <f>V72-W72</f>
        <v>29700.53</v>
      </c>
      <c r="Y72" s="279">
        <f>IF(ISERROR(X72/V72),"-",X72/V72)</f>
        <v>0.41083389770114176</v>
      </c>
      <c r="Z72" s="282"/>
      <c r="AA72" s="281">
        <f t="shared" si="40"/>
        <v>72293.279999999999</v>
      </c>
      <c r="AB72" s="280">
        <f>AA72-W72</f>
        <v>29700.53</v>
      </c>
      <c r="AC72" s="279">
        <f t="shared" si="41"/>
        <v>0.41083389770114176</v>
      </c>
      <c r="AD72" s="278"/>
      <c r="AE72" s="277"/>
    </row>
    <row r="73" spans="1:31" ht="15.75" x14ac:dyDescent="0.25">
      <c r="A73" s="145" t="s">
        <v>77</v>
      </c>
      <c r="B73" s="281">
        <v>237000</v>
      </c>
      <c r="C73" s="637">
        <v>251658</v>
      </c>
      <c r="D73" s="280">
        <f>B73-C73</f>
        <v>-14658</v>
      </c>
      <c r="E73" s="279">
        <f>IF(ISERROR(D73/B73),"-",D73/B73)</f>
        <v>-6.1848101265822783E-2</v>
      </c>
      <c r="F73" s="287"/>
      <c r="G73" s="281">
        <v>234769.35</v>
      </c>
      <c r="H73" s="280">
        <v>185003.08999999997</v>
      </c>
      <c r="I73" s="280">
        <f>G73-H73</f>
        <v>49766.260000000038</v>
      </c>
      <c r="J73" s="279">
        <f>IF(ISERROR(I73/G73),"-",I73/G73)</f>
        <v>0.21197937465005562</v>
      </c>
      <c r="K73" s="287"/>
      <c r="L73" s="281"/>
      <c r="M73" s="280"/>
      <c r="N73" s="280"/>
      <c r="O73" s="279"/>
      <c r="P73" s="287"/>
      <c r="Q73" s="281">
        <v>0</v>
      </c>
      <c r="R73" s="280">
        <v>0</v>
      </c>
      <c r="S73" s="280">
        <f>Q73-R73</f>
        <v>0</v>
      </c>
      <c r="T73" s="279" t="str">
        <f>IF(ISERROR(S73/Q73),"-",S73/Q73)</f>
        <v>-</v>
      </c>
      <c r="U73" s="287"/>
      <c r="V73" s="281">
        <f t="shared" si="42"/>
        <v>471769.35</v>
      </c>
      <c r="W73" s="280">
        <f t="shared" si="42"/>
        <v>436661.08999999997</v>
      </c>
      <c r="X73" s="280">
        <f>V73-W73</f>
        <v>35108.260000000009</v>
      </c>
      <c r="Y73" s="279">
        <f>IF(ISERROR(X73/V73),"-",X73/V73)</f>
        <v>7.4418272403665081E-2</v>
      </c>
      <c r="Z73" s="287"/>
      <c r="AA73" s="281">
        <f t="shared" si="40"/>
        <v>471769.35</v>
      </c>
      <c r="AB73" s="280">
        <f>AA73-W73</f>
        <v>35108.260000000009</v>
      </c>
      <c r="AC73" s="279">
        <f t="shared" si="41"/>
        <v>7.4418272403665081E-2</v>
      </c>
      <c r="AD73" s="286"/>
      <c r="AE73" s="277"/>
    </row>
    <row r="74" spans="1:31" ht="15.75" x14ac:dyDescent="0.25">
      <c r="A74" s="145" t="s">
        <v>160</v>
      </c>
      <c r="B74" s="281">
        <v>0</v>
      </c>
      <c r="C74" s="637">
        <v>0</v>
      </c>
      <c r="D74" s="280">
        <f>B74-C74</f>
        <v>0</v>
      </c>
      <c r="E74" s="279" t="str">
        <f>IF(ISERROR(D74/B74),"-",D74/B74)</f>
        <v>-</v>
      </c>
      <c r="F74" s="282"/>
      <c r="G74" s="281">
        <v>0</v>
      </c>
      <c r="H74" s="280">
        <v>0</v>
      </c>
      <c r="I74" s="280">
        <f>G74-H74</f>
        <v>0</v>
      </c>
      <c r="J74" s="279" t="str">
        <f>IF(ISERROR(I74/G74),"-",I74/G74)</f>
        <v>-</v>
      </c>
      <c r="K74" s="282"/>
      <c r="L74" s="281"/>
      <c r="M74" s="280"/>
      <c r="N74" s="280"/>
      <c r="O74" s="279"/>
      <c r="P74" s="282"/>
      <c r="Q74" s="281">
        <v>0</v>
      </c>
      <c r="R74" s="280">
        <v>0</v>
      </c>
      <c r="S74" s="280">
        <f>Q74-R74</f>
        <v>0</v>
      </c>
      <c r="T74" s="279"/>
      <c r="U74" s="282"/>
      <c r="V74" s="281">
        <f t="shared" si="42"/>
        <v>0</v>
      </c>
      <c r="W74" s="280">
        <f t="shared" si="42"/>
        <v>0</v>
      </c>
      <c r="X74" s="280">
        <f>V74-W74</f>
        <v>0</v>
      </c>
      <c r="Y74" s="279" t="str">
        <f>IF(ISERROR(X74/V74),"-",X74/V74)</f>
        <v>-</v>
      </c>
      <c r="Z74" s="282"/>
      <c r="AA74" s="281">
        <v>0</v>
      </c>
      <c r="AB74" s="280">
        <f>AA74-W74</f>
        <v>0</v>
      </c>
      <c r="AC74" s="279" t="str">
        <f t="shared" si="41"/>
        <v>-</v>
      </c>
      <c r="AD74" s="278"/>
      <c r="AE74" s="323"/>
    </row>
    <row r="75" spans="1:31" ht="15.75" x14ac:dyDescent="0.25">
      <c r="A75" s="145"/>
      <c r="B75" s="281"/>
      <c r="C75" s="637"/>
      <c r="D75" s="280"/>
      <c r="E75" s="279"/>
      <c r="F75" s="282"/>
      <c r="G75" s="281"/>
      <c r="H75" s="280"/>
      <c r="I75" s="280"/>
      <c r="J75" s="279"/>
      <c r="K75" s="282"/>
      <c r="L75" s="281"/>
      <c r="M75" s="280"/>
      <c r="N75" s="280"/>
      <c r="O75" s="279"/>
      <c r="P75" s="282"/>
      <c r="Q75" s="281"/>
      <c r="R75" s="280"/>
      <c r="S75" s="280"/>
      <c r="T75" s="279"/>
      <c r="U75" s="282"/>
      <c r="V75" s="281"/>
      <c r="W75" s="280"/>
      <c r="X75" s="280"/>
      <c r="Y75" s="279"/>
      <c r="Z75" s="282"/>
      <c r="AA75" s="281"/>
      <c r="AB75" s="280"/>
      <c r="AC75" s="279"/>
      <c r="AD75" s="278"/>
      <c r="AE75" s="323"/>
    </row>
    <row r="76" spans="1:31" ht="15.75" x14ac:dyDescent="0.25">
      <c r="A76" s="146" t="s">
        <v>79</v>
      </c>
      <c r="B76" s="290">
        <f>SUM(B42:B74)</f>
        <v>934203.67999999993</v>
      </c>
      <c r="C76" s="643">
        <f>SUM(C42:C74)</f>
        <v>1722006.0999999999</v>
      </c>
      <c r="D76" s="291">
        <f>SUM(D42:D74)</f>
        <v>-787802.41999999993</v>
      </c>
      <c r="E76" s="292">
        <f>IF(ISERROR(D76/B76),"-",D76/B76)</f>
        <v>-0.84328764365389786</v>
      </c>
      <c r="F76" s="293"/>
      <c r="G76" s="290">
        <f>SUM(G42:G74)</f>
        <v>889351.86</v>
      </c>
      <c r="H76" s="291">
        <f>SUM(H42:H74)</f>
        <v>1046535.6199999999</v>
      </c>
      <c r="I76" s="291">
        <f>SUM(I42:I74)</f>
        <v>-157183.75999999989</v>
      </c>
      <c r="J76" s="292">
        <f>IF(ISERROR(I76/G76),"-",I76/G76)</f>
        <v>-0.17673967646506064</v>
      </c>
      <c r="K76" s="293"/>
      <c r="L76" s="290"/>
      <c r="M76" s="291"/>
      <c r="N76" s="291"/>
      <c r="O76" s="292"/>
      <c r="P76" s="293"/>
      <c r="Q76" s="290">
        <f>SUM(Q42:Q74)</f>
        <v>0</v>
      </c>
      <c r="R76" s="291">
        <f>SUM(R42:R74)</f>
        <v>0</v>
      </c>
      <c r="S76" s="291">
        <f>SUM(S42:S74)</f>
        <v>0</v>
      </c>
      <c r="T76" s="292" t="str">
        <f>IF(ISERROR(S76/Q76),"-",S76/Q76)</f>
        <v>-</v>
      </c>
      <c r="U76" s="293"/>
      <c r="V76" s="290">
        <f>SUM(V42:V74)</f>
        <v>1823555.54</v>
      </c>
      <c r="W76" s="291">
        <f>SUM(W42:W74)</f>
        <v>2768541.7199999997</v>
      </c>
      <c r="X76" s="291">
        <f>SUM(X42:X74)</f>
        <v>-944986.18</v>
      </c>
      <c r="Y76" s="292">
        <f>IF(ISERROR(X76/V76),"-",X76/V76)</f>
        <v>-0.51821080261695784</v>
      </c>
      <c r="Z76" s="293"/>
      <c r="AA76" s="290">
        <f>SUM(AA42:AA74)</f>
        <v>1823555.54</v>
      </c>
      <c r="AB76" s="291">
        <f>SUM(AB42:AB74)</f>
        <v>-946486.18</v>
      </c>
      <c r="AC76" s="292">
        <f>IF(ISERROR(AB76/AA76),"-",AB76/AA76)</f>
        <v>-0.51903337147603412</v>
      </c>
      <c r="AD76" s="648"/>
      <c r="AE76" s="641"/>
    </row>
    <row r="77" spans="1:31" ht="15.75" x14ac:dyDescent="0.25">
      <c r="A77" s="154"/>
      <c r="B77" s="294"/>
      <c r="C77" s="647"/>
      <c r="D77" s="295"/>
      <c r="E77" s="296"/>
      <c r="F77" s="297"/>
      <c r="G77" s="294"/>
      <c r="H77" s="295"/>
      <c r="I77" s="295"/>
      <c r="J77" s="296"/>
      <c r="K77" s="297"/>
      <c r="L77" s="294"/>
      <c r="M77" s="295"/>
      <c r="N77" s="295"/>
      <c r="O77" s="296"/>
      <c r="P77" s="297"/>
      <c r="Q77" s="294"/>
      <c r="R77" s="295"/>
      <c r="S77" s="295"/>
      <c r="T77" s="642"/>
      <c r="U77" s="297"/>
      <c r="V77" s="645"/>
      <c r="W77" s="646"/>
      <c r="X77" s="295"/>
      <c r="Y77" s="296"/>
      <c r="Z77" s="297"/>
      <c r="AA77" s="645"/>
      <c r="AB77" s="295"/>
      <c r="AC77" s="296"/>
      <c r="AD77" s="644"/>
      <c r="AE77" s="323"/>
    </row>
    <row r="78" spans="1:31" ht="15.75" x14ac:dyDescent="0.25">
      <c r="A78" s="146" t="s">
        <v>80</v>
      </c>
      <c r="B78" s="290">
        <f>B40+B76+B77</f>
        <v>3552408.6799999997</v>
      </c>
      <c r="C78" s="643">
        <f>C40+C76+C77</f>
        <v>4403850.7700000005</v>
      </c>
      <c r="D78" s="291">
        <f>D40+D76+D77</f>
        <v>-851442.09000000008</v>
      </c>
      <c r="E78" s="292">
        <f>IF(ISERROR(D78/B78),"-",D78/B78)</f>
        <v>-0.23968021888742827</v>
      </c>
      <c r="F78" s="282"/>
      <c r="G78" s="290">
        <f>G40+G76+G77</f>
        <v>3595834.4399999995</v>
      </c>
      <c r="H78" s="643">
        <f>H40+H76+H77</f>
        <v>3809747.2899999991</v>
      </c>
      <c r="I78" s="291">
        <f>I40+I76+I77</f>
        <v>-213912.84999999969</v>
      </c>
      <c r="J78" s="292">
        <f>IF(ISERROR(I78/G78),"-",I78/G78)</f>
        <v>-5.9489070915066854E-2</v>
      </c>
      <c r="K78" s="282"/>
      <c r="L78" s="290"/>
      <c r="M78" s="291"/>
      <c r="N78" s="291"/>
      <c r="O78" s="292"/>
      <c r="P78" s="282"/>
      <c r="Q78" s="290">
        <f>Q40+Q76+Q77</f>
        <v>0</v>
      </c>
      <c r="R78" s="291">
        <f>R40+R76+R77</f>
        <v>0</v>
      </c>
      <c r="S78" s="291">
        <f>S40+S76+S77</f>
        <v>0</v>
      </c>
      <c r="T78" s="292" t="str">
        <f>IF(ISERROR(S78/Q78),"-",S78/Q78)</f>
        <v>-</v>
      </c>
      <c r="U78" s="282"/>
      <c r="V78" s="290">
        <f>V40+V76+V77</f>
        <v>7148243.1200000001</v>
      </c>
      <c r="W78" s="290">
        <f>W40+W76+W77</f>
        <v>8213598.0599999996</v>
      </c>
      <c r="X78" s="291">
        <f>X40+X76+X77</f>
        <v>-1065354.9400000009</v>
      </c>
      <c r="Y78" s="292">
        <f>IF(ISERROR(X78/V78),"-",X78/V78)</f>
        <v>-0.14903731198219247</v>
      </c>
      <c r="Z78" s="282"/>
      <c r="AA78" s="290">
        <f>AA40+AA76+AA77</f>
        <v>7148243.1200000001</v>
      </c>
      <c r="AB78" s="291">
        <f>AB40+AB76+AB77</f>
        <v>-1066854.9400000009</v>
      </c>
      <c r="AC78" s="292">
        <f>IF(ISERROR(AB78/AA78),"-",AB78/AA78)</f>
        <v>-0.14924715375377451</v>
      </c>
      <c r="AD78" s="278"/>
      <c r="AE78" s="641"/>
    </row>
    <row r="79" spans="1:31" ht="15.75" x14ac:dyDescent="0.25">
      <c r="A79" s="155"/>
      <c r="B79" s="294"/>
      <c r="C79" s="647"/>
      <c r="D79" s="295"/>
      <c r="E79" s="296"/>
      <c r="F79" s="297"/>
      <c r="G79" s="294"/>
      <c r="H79" s="295"/>
      <c r="I79" s="295"/>
      <c r="J79" s="296"/>
      <c r="K79" s="297"/>
      <c r="L79" s="294"/>
      <c r="M79" s="295"/>
      <c r="N79" s="295"/>
      <c r="O79" s="296"/>
      <c r="P79" s="297"/>
      <c r="Q79" s="294"/>
      <c r="R79" s="295"/>
      <c r="S79" s="295"/>
      <c r="T79" s="296"/>
      <c r="U79" s="297"/>
      <c r="V79" s="645"/>
      <c r="W79" s="646"/>
      <c r="X79" s="295"/>
      <c r="Y79" s="296"/>
      <c r="Z79" s="297"/>
      <c r="AA79" s="645"/>
      <c r="AB79" s="295"/>
      <c r="AC79" s="296"/>
      <c r="AD79" s="644"/>
      <c r="AE79" s="323"/>
    </row>
    <row r="80" spans="1:31" ht="15.75" x14ac:dyDescent="0.25">
      <c r="A80" s="146" t="s">
        <v>81</v>
      </c>
      <c r="B80" s="290">
        <f>B27-B78</f>
        <v>657259.3200000003</v>
      </c>
      <c r="C80" s="643">
        <f>C27-C78</f>
        <v>-766274.77000000048</v>
      </c>
      <c r="D80" s="291">
        <f>D27+D78</f>
        <v>-1423534.09</v>
      </c>
      <c r="E80" s="292">
        <f>IF(ISERROR(D80/B80),"-",D80/B80)</f>
        <v>-2.1658636807158542</v>
      </c>
      <c r="F80" s="282"/>
      <c r="G80" s="290">
        <f>G27-G78</f>
        <v>1022657</v>
      </c>
      <c r="H80" s="291">
        <f>H27-H78</f>
        <v>-1585149.169999999</v>
      </c>
      <c r="I80" s="291">
        <f>I27+I78</f>
        <v>-2607806.1699999995</v>
      </c>
      <c r="J80" s="292">
        <f>IF(ISERROR(I80/G80),"-",I80/G80)</f>
        <v>-2.5500301371818699</v>
      </c>
      <c r="K80" s="282"/>
      <c r="L80" s="290"/>
      <c r="M80" s="291"/>
      <c r="N80" s="291"/>
      <c r="O80" s="292"/>
      <c r="P80" s="282"/>
      <c r="Q80" s="290">
        <f>Q27-Q78</f>
        <v>0</v>
      </c>
      <c r="R80" s="291">
        <f>R27-R78</f>
        <v>0</v>
      </c>
      <c r="S80" s="291">
        <f>S27+S78</f>
        <v>0</v>
      </c>
      <c r="T80" s="292" t="str">
        <f>IF(ISERROR(S80/Q80),"-",S80/Q80)</f>
        <v>-</v>
      </c>
      <c r="U80" s="282"/>
      <c r="V80" s="294">
        <f>V27-V78</f>
        <v>1679916.3199999994</v>
      </c>
      <c r="W80" s="295">
        <f>W27-W78</f>
        <v>-2351423.9399999995</v>
      </c>
      <c r="X80" s="295">
        <f>X27+X78</f>
        <v>-4031340.2600000007</v>
      </c>
      <c r="Y80" s="642">
        <f>IF(ISERROR(X80/V80),"-",X80/V80)</f>
        <v>-2.3997268268695682</v>
      </c>
      <c r="Z80" s="282"/>
      <c r="AA80" s="290">
        <f>AA27-AA78</f>
        <v>1679916.3199999994</v>
      </c>
      <c r="AB80" s="291">
        <f>AB27+AB78</f>
        <v>1899130.3799999985</v>
      </c>
      <c r="AC80" s="292">
        <f>IF(ISERROR(AB80/AA80),"-",AB80/AA80)</f>
        <v>1.1304910592213302</v>
      </c>
      <c r="AD80" s="278"/>
      <c r="AE80" s="641"/>
    </row>
    <row r="81" spans="1:31" ht="15.75" x14ac:dyDescent="0.25">
      <c r="A81" s="156"/>
      <c r="B81" s="298"/>
      <c r="C81" s="640"/>
      <c r="D81" s="300"/>
      <c r="E81" s="301"/>
      <c r="F81" s="302"/>
      <c r="G81" s="298"/>
      <c r="H81" s="299"/>
      <c r="I81" s="300"/>
      <c r="J81" s="301"/>
      <c r="K81" s="302"/>
      <c r="L81" s="298"/>
      <c r="M81" s="299"/>
      <c r="N81" s="300"/>
      <c r="O81" s="301"/>
      <c r="P81" s="302"/>
      <c r="Q81" s="298"/>
      <c r="R81" s="299"/>
      <c r="S81" s="300"/>
      <c r="T81" s="301"/>
      <c r="U81" s="302"/>
      <c r="V81" s="638"/>
      <c r="W81" s="639"/>
      <c r="X81" s="300"/>
      <c r="Y81" s="301"/>
      <c r="Z81" s="302"/>
      <c r="AA81" s="638"/>
      <c r="AB81" s="300"/>
      <c r="AC81" s="301"/>
      <c r="AD81" s="632"/>
      <c r="AE81" s="323"/>
    </row>
    <row r="82" spans="1:31" ht="15.75" x14ac:dyDescent="0.25">
      <c r="A82" s="148" t="s">
        <v>82</v>
      </c>
      <c r="B82" s="281"/>
      <c r="C82" s="637"/>
      <c r="D82" s="280">
        <f>B82-C82</f>
        <v>0</v>
      </c>
      <c r="E82" s="325" t="str">
        <f>IF(ISERROR(D82/B82),"-",D82/B82)</f>
        <v>-</v>
      </c>
      <c r="F82" s="282"/>
      <c r="G82" s="281"/>
      <c r="H82" s="280"/>
      <c r="I82" s="280"/>
      <c r="J82" s="325" t="str">
        <f>IF(ISERROR(I82/G82),"-",I82/G82)</f>
        <v>-</v>
      </c>
      <c r="K82" s="282"/>
      <c r="L82" s="281"/>
      <c r="M82" s="280"/>
      <c r="N82" s="280"/>
      <c r="O82" s="325"/>
      <c r="P82" s="282"/>
      <c r="Q82" s="281"/>
      <c r="R82" s="280"/>
      <c r="S82" s="280">
        <f>Q82-R82</f>
        <v>0</v>
      </c>
      <c r="T82" s="325" t="str">
        <f>IF(ISERROR(S82/Q82),"-",S82/Q82)</f>
        <v>-</v>
      </c>
      <c r="U82" s="282"/>
      <c r="V82" s="281">
        <f>B82+G82+L82+Q82</f>
        <v>0</v>
      </c>
      <c r="W82" s="280">
        <f>C82+H82+M82+R82</f>
        <v>0</v>
      </c>
      <c r="X82" s="280">
        <f>V82-W82</f>
        <v>0</v>
      </c>
      <c r="Y82" s="325" t="str">
        <f>IF(ISERROR(X82/V82),"-",X82/V82)</f>
        <v>-</v>
      </c>
      <c r="Z82" s="282"/>
      <c r="AA82" s="281">
        <f>G82+L82+Q82+V82</f>
        <v>0</v>
      </c>
      <c r="AB82" s="280">
        <f>AA82-W82</f>
        <v>0</v>
      </c>
      <c r="AC82" s="325" t="str">
        <f>IF(ISERROR(AB82/AA82),"-",AB82/AA82)</f>
        <v>-</v>
      </c>
      <c r="AD82" s="278"/>
      <c r="AE82" s="323"/>
    </row>
    <row r="83" spans="1:31" ht="15.75" x14ac:dyDescent="0.25">
      <c r="A83" s="149"/>
      <c r="B83" s="635"/>
      <c r="C83" s="636"/>
      <c r="D83" s="634"/>
      <c r="E83" s="633"/>
      <c r="F83" s="302"/>
      <c r="G83" s="635"/>
      <c r="H83" s="634"/>
      <c r="I83" s="634"/>
      <c r="J83" s="633"/>
      <c r="K83" s="302"/>
      <c r="L83" s="635"/>
      <c r="M83" s="634"/>
      <c r="N83" s="634"/>
      <c r="O83" s="633"/>
      <c r="P83" s="302"/>
      <c r="Q83" s="635"/>
      <c r="R83" s="634"/>
      <c r="S83" s="634"/>
      <c r="T83" s="633"/>
      <c r="U83" s="302"/>
      <c r="V83" s="635"/>
      <c r="W83" s="634"/>
      <c r="X83" s="634"/>
      <c r="Y83" s="633"/>
      <c r="Z83" s="302"/>
      <c r="AA83" s="635"/>
      <c r="AB83" s="634"/>
      <c r="AC83" s="633"/>
      <c r="AD83" s="632"/>
      <c r="AE83" s="323"/>
    </row>
    <row r="84" spans="1:31" ht="16.5" thickBot="1" x14ac:dyDescent="0.3">
      <c r="A84" s="157" t="s">
        <v>83</v>
      </c>
      <c r="B84" s="630">
        <f>B80-B82</f>
        <v>657259.3200000003</v>
      </c>
      <c r="C84" s="631">
        <f>C80-C82</f>
        <v>-766274.77000000048</v>
      </c>
      <c r="D84" s="629">
        <f>D80+D82</f>
        <v>-1423534.09</v>
      </c>
      <c r="E84" s="628">
        <f>IF(ISERROR(D84/B84),"-",D84/B84)</f>
        <v>-2.1658636807158542</v>
      </c>
      <c r="F84" s="627"/>
      <c r="G84" s="630">
        <f>G80-G82</f>
        <v>1022657</v>
      </c>
      <c r="H84" s="631">
        <f>H80-H82</f>
        <v>-1585149.169999999</v>
      </c>
      <c r="I84" s="629">
        <f>I80+I82</f>
        <v>-2607806.1699999995</v>
      </c>
      <c r="J84" s="628">
        <f>IF(ISERROR(I84/G84),"-",I84/G84)</f>
        <v>-2.5500301371818699</v>
      </c>
      <c r="K84" s="627"/>
      <c r="L84" s="630"/>
      <c r="M84" s="629"/>
      <c r="N84" s="631"/>
      <c r="O84" s="628"/>
      <c r="P84" s="627"/>
      <c r="Q84" s="630">
        <f>Q80-Q82</f>
        <v>0</v>
      </c>
      <c r="R84" s="629">
        <f>R80-R82</f>
        <v>0</v>
      </c>
      <c r="S84" s="629">
        <f>S80+S82</f>
        <v>0</v>
      </c>
      <c r="T84" s="628" t="str">
        <f>IF(ISERROR(S84/Q84),"-",S84/Q84)</f>
        <v>-</v>
      </c>
      <c r="U84" s="627"/>
      <c r="V84" s="626">
        <f>V80-V82</f>
        <v>1679916.3199999994</v>
      </c>
      <c r="W84" s="625">
        <f>W80-W82</f>
        <v>-2351423.9399999995</v>
      </c>
      <c r="X84" s="625">
        <f>X80+X82</f>
        <v>-4031340.2600000007</v>
      </c>
      <c r="Y84" s="624">
        <f>IF(ISERROR(X84/V84),"-",X84/V84)</f>
        <v>-2.3997268268695682</v>
      </c>
      <c r="Z84" s="627"/>
      <c r="AA84" s="626">
        <f>AA80-AA82</f>
        <v>1679916.3199999994</v>
      </c>
      <c r="AB84" s="625">
        <f>AA84-W84</f>
        <v>4031340.2599999988</v>
      </c>
      <c r="AC84" s="624">
        <f>IF(ISERROR(AB84/AA84),"-",AB84/AA84)</f>
        <v>2.3997268268695673</v>
      </c>
      <c r="AD84" s="623"/>
      <c r="AE84" s="622"/>
    </row>
    <row r="87" spans="1:31" x14ac:dyDescent="0.25">
      <c r="H87" s="621"/>
      <c r="V87" s="621"/>
      <c r="W87" s="621"/>
    </row>
  </sheetData>
  <mergeCells count="19">
    <mergeCell ref="AE9:AE11"/>
    <mergeCell ref="D10:E10"/>
    <mergeCell ref="I10:J10"/>
    <mergeCell ref="N10:O10"/>
    <mergeCell ref="S10:T10"/>
    <mergeCell ref="X10:Y10"/>
    <mergeCell ref="AB10:AC10"/>
    <mergeCell ref="B9:E9"/>
    <mergeCell ref="G9:J9"/>
    <mergeCell ref="L9:O9"/>
    <mergeCell ref="Q9:T9"/>
    <mergeCell ref="V9:Y9"/>
    <mergeCell ref="AA9:AC9"/>
    <mergeCell ref="A7:H7"/>
    <mergeCell ref="A1:H1"/>
    <mergeCell ref="A3:H3"/>
    <mergeCell ref="A4:H4"/>
    <mergeCell ref="A5:H5"/>
    <mergeCell ref="A6:H6"/>
  </mergeCells>
  <conditionalFormatting sqref="E53">
    <cfRule type="cellIs" dxfId="5" priority="1" stopIfTrue="1" operator="equal">
      <formula>""""""</formula>
    </cfRule>
  </conditionalFormatting>
  <pageMargins left="0.2" right="0.2" top="0.75" bottom="0.25" header="0.3" footer="0.3"/>
  <pageSetup paperSize="5" scale="3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M76"/>
  <sheetViews>
    <sheetView showGridLines="0" topLeftCell="A24" zoomScale="70" zoomScaleNormal="70" workbookViewId="0">
      <selection activeCell="D14" sqref="D14"/>
    </sheetView>
  </sheetViews>
  <sheetFormatPr defaultColWidth="8.85546875" defaultRowHeight="15" x14ac:dyDescent="0.25"/>
  <cols>
    <col min="1" max="1" width="44.5703125" style="8" customWidth="1"/>
    <col min="2" max="2" width="16.42578125" style="8" customWidth="1"/>
    <col min="3" max="3" width="16.85546875" style="8" customWidth="1"/>
    <col min="4" max="4" width="18.140625" style="8" customWidth="1"/>
    <col min="5" max="5" width="17" style="8" customWidth="1"/>
    <col min="6" max="6" width="17.42578125" style="8" customWidth="1"/>
    <col min="7" max="7" width="13.85546875" style="594" customWidth="1"/>
    <col min="8" max="8" width="24.85546875" style="594" customWidth="1"/>
    <col min="9" max="9" width="15" style="594" bestFit="1" customWidth="1"/>
    <col min="10" max="10" width="8.85546875" style="8" customWidth="1"/>
    <col min="11" max="11" width="13.28515625" style="594" bestFit="1" customWidth="1"/>
    <col min="12" max="221" width="8.85546875" style="8" customWidth="1"/>
    <col min="222" max="16384" width="8.85546875" style="2"/>
  </cols>
  <sheetData>
    <row r="1" spans="1:221" ht="18.75" customHeight="1" x14ac:dyDescent="0.25">
      <c r="A1" s="862" t="s">
        <v>0</v>
      </c>
      <c r="B1" s="879"/>
      <c r="C1" s="879"/>
      <c r="D1" s="879"/>
      <c r="E1" s="879"/>
      <c r="F1" s="879"/>
      <c r="J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</row>
    <row r="2" spans="1:221" ht="18.75" customHeight="1" x14ac:dyDescent="0.25">
      <c r="A2" s="3"/>
      <c r="B2" s="4"/>
      <c r="C2" s="4"/>
      <c r="D2" s="4"/>
      <c r="E2" s="4"/>
      <c r="F2" s="4"/>
      <c r="J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</row>
    <row r="3" spans="1:221" s="9" customFormat="1" ht="18.75" customHeight="1" x14ac:dyDescent="0.3">
      <c r="A3" s="858" t="s">
        <v>161</v>
      </c>
      <c r="B3" s="859"/>
      <c r="C3" s="859"/>
      <c r="D3" s="859"/>
      <c r="E3" s="859"/>
      <c r="F3" s="859"/>
      <c r="G3" s="619"/>
      <c r="H3" s="619"/>
      <c r="I3" s="619"/>
      <c r="K3" s="619"/>
    </row>
    <row r="4" spans="1:221" ht="18.75" customHeight="1" x14ac:dyDescent="0.3">
      <c r="A4" s="880" t="s">
        <v>84</v>
      </c>
      <c r="B4" s="860"/>
      <c r="C4" s="860"/>
      <c r="D4" s="860"/>
      <c r="E4" s="860"/>
      <c r="F4" s="860"/>
      <c r="J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</row>
    <row r="5" spans="1:221" ht="18.75" customHeight="1" x14ac:dyDescent="0.3">
      <c r="A5" s="880" t="s">
        <v>85</v>
      </c>
      <c r="B5" s="881"/>
      <c r="C5" s="881"/>
      <c r="D5" s="881"/>
      <c r="E5" s="881"/>
      <c r="F5" s="881"/>
      <c r="J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</row>
    <row r="6" spans="1:221" ht="18.75" customHeight="1" x14ac:dyDescent="0.3">
      <c r="A6" s="858" t="s">
        <v>87</v>
      </c>
      <c r="B6" s="882"/>
      <c r="C6" s="882"/>
      <c r="D6" s="882"/>
      <c r="E6" s="882"/>
      <c r="F6" s="882"/>
      <c r="J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</row>
    <row r="7" spans="1:221" ht="18.75" customHeight="1" x14ac:dyDescent="0.3">
      <c r="A7" s="858" t="s">
        <v>5</v>
      </c>
      <c r="B7" s="859"/>
      <c r="C7" s="859"/>
      <c r="D7" s="859"/>
      <c r="E7" s="859"/>
      <c r="F7" s="859"/>
      <c r="J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</row>
    <row r="8" spans="1:221" ht="16.5" customHeight="1" thickBot="1" x14ac:dyDescent="0.3">
      <c r="A8" s="6"/>
      <c r="B8" s="34"/>
      <c r="C8" s="7"/>
      <c r="D8" s="34"/>
      <c r="E8" s="7"/>
      <c r="F8" s="34"/>
      <c r="J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</row>
    <row r="9" spans="1:221" ht="17.45" customHeight="1" x14ac:dyDescent="0.25">
      <c r="A9" s="17"/>
      <c r="B9" s="35" t="s">
        <v>162</v>
      </c>
      <c r="C9" s="49" t="s">
        <v>163</v>
      </c>
      <c r="D9" s="35" t="s">
        <v>98</v>
      </c>
      <c r="E9" s="49" t="s">
        <v>164</v>
      </c>
      <c r="F9" s="35" t="s">
        <v>165</v>
      </c>
      <c r="J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</row>
    <row r="10" spans="1:221" ht="15" customHeight="1" x14ac:dyDescent="0.25">
      <c r="A10" s="18"/>
      <c r="B10" s="36">
        <v>43831</v>
      </c>
      <c r="C10" s="50">
        <v>43921</v>
      </c>
      <c r="D10" s="36">
        <v>44012</v>
      </c>
      <c r="E10" s="50">
        <v>44104</v>
      </c>
      <c r="F10" s="61">
        <v>44196</v>
      </c>
      <c r="J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</row>
    <row r="11" spans="1:221" ht="15" customHeight="1" thickBot="1" x14ac:dyDescent="0.3">
      <c r="A11" s="19"/>
      <c r="B11" s="37" t="s">
        <v>19</v>
      </c>
      <c r="C11" s="51" t="s">
        <v>19</v>
      </c>
      <c r="D11" s="37" t="s">
        <v>19</v>
      </c>
      <c r="E11" s="51" t="s">
        <v>19</v>
      </c>
      <c r="F11" s="37" t="s">
        <v>19</v>
      </c>
      <c r="J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</row>
    <row r="12" spans="1:221" ht="15" customHeight="1" x14ac:dyDescent="0.25">
      <c r="A12" s="20" t="s">
        <v>99</v>
      </c>
      <c r="B12" s="38"/>
      <c r="C12" s="52"/>
      <c r="D12" s="38"/>
      <c r="E12" s="52"/>
      <c r="F12" s="38"/>
      <c r="J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</row>
    <row r="13" spans="1:221" ht="15" customHeight="1" x14ac:dyDescent="0.25">
      <c r="A13" s="21" t="s">
        <v>100</v>
      </c>
      <c r="B13" s="39"/>
      <c r="C13" s="12"/>
      <c r="D13" s="39"/>
      <c r="E13" s="12"/>
      <c r="F13" s="39"/>
      <c r="J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</row>
    <row r="14" spans="1:221" ht="15" customHeight="1" x14ac:dyDescent="0.25">
      <c r="A14" s="10" t="s">
        <v>101</v>
      </c>
      <c r="B14" s="39">
        <v>757680.46</v>
      </c>
      <c r="C14" s="608">
        <v>0</v>
      </c>
      <c r="D14" s="39">
        <v>0</v>
      </c>
      <c r="E14" s="12"/>
      <c r="F14" s="39">
        <v>0</v>
      </c>
      <c r="J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</row>
    <row r="15" spans="1:221" ht="15" customHeight="1" x14ac:dyDescent="0.25">
      <c r="A15" s="11" t="s">
        <v>102</v>
      </c>
      <c r="B15" s="39">
        <v>0</v>
      </c>
      <c r="C15" s="608">
        <v>0</v>
      </c>
      <c r="D15" s="39">
        <v>0</v>
      </c>
      <c r="E15" s="12"/>
      <c r="F15" s="39">
        <v>0</v>
      </c>
      <c r="J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</row>
    <row r="16" spans="1:221" ht="15" customHeight="1" x14ac:dyDescent="0.25">
      <c r="A16" s="11" t="s">
        <v>103</v>
      </c>
      <c r="B16" s="39">
        <f>-58719.52+120457.09</f>
        <v>61737.57</v>
      </c>
      <c r="C16" s="608">
        <f>78073.48+102759.64</f>
        <v>180833.12</v>
      </c>
      <c r="D16" s="39">
        <v>309328.17</v>
      </c>
      <c r="E16" s="12"/>
      <c r="F16" s="39">
        <v>0</v>
      </c>
      <c r="J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</row>
    <row r="17" spans="1:221" ht="15" customHeight="1" x14ac:dyDescent="0.25">
      <c r="A17" s="11" t="s">
        <v>104</v>
      </c>
      <c r="B17" s="39">
        <v>0</v>
      </c>
      <c r="C17" s="39">
        <v>27169</v>
      </c>
      <c r="D17" s="39">
        <v>27169</v>
      </c>
      <c r="E17" s="608"/>
      <c r="F17" s="39">
        <v>0</v>
      </c>
      <c r="J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</row>
    <row r="18" spans="1:221" ht="15" customHeight="1" x14ac:dyDescent="0.25">
      <c r="A18" s="11" t="s">
        <v>105</v>
      </c>
      <c r="B18" s="39">
        <f>13+3400820.34</f>
        <v>3400833.34</v>
      </c>
      <c r="C18" s="12">
        <v>3241537.08</v>
      </c>
      <c r="D18" s="39">
        <v>2753813.42</v>
      </c>
      <c r="E18" s="12"/>
      <c r="F18" s="39">
        <v>0</v>
      </c>
      <c r="J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</row>
    <row r="19" spans="1:221" ht="15" customHeight="1" x14ac:dyDescent="0.25">
      <c r="A19" s="22" t="s">
        <v>106</v>
      </c>
      <c r="B19" s="40">
        <v>0</v>
      </c>
      <c r="C19" s="53">
        <v>0</v>
      </c>
      <c r="D19" s="40">
        <v>0</v>
      </c>
      <c r="E19" s="53"/>
      <c r="F19" s="40">
        <v>0</v>
      </c>
      <c r="J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</row>
    <row r="20" spans="1:221" ht="15" customHeight="1" x14ac:dyDescent="0.25">
      <c r="A20" s="23" t="s">
        <v>107</v>
      </c>
      <c r="B20" s="41">
        <f>SUM(B14:B19)</f>
        <v>4220251.37</v>
      </c>
      <c r="C20" s="54">
        <f>SUM(C14:C19)</f>
        <v>3449539.2</v>
      </c>
      <c r="D20" s="41">
        <f>SUM(D14:D19)</f>
        <v>3090310.59</v>
      </c>
      <c r="E20" s="54"/>
      <c r="F20" s="41">
        <f>SUM(F14:F19)</f>
        <v>0</v>
      </c>
      <c r="J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</row>
    <row r="21" spans="1:221" ht="15" customHeight="1" x14ac:dyDescent="0.25">
      <c r="A21" s="24"/>
      <c r="B21" s="618"/>
      <c r="C21" s="55"/>
      <c r="D21" s="42"/>
      <c r="E21" s="55"/>
      <c r="F21" s="42"/>
      <c r="J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</row>
    <row r="22" spans="1:221" ht="15" customHeight="1" x14ac:dyDescent="0.25">
      <c r="A22" s="25" t="s">
        <v>108</v>
      </c>
      <c r="B22" s="39"/>
      <c r="C22" s="12"/>
      <c r="D22" s="39"/>
      <c r="E22" s="12"/>
      <c r="F22" s="39"/>
      <c r="J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</row>
    <row r="23" spans="1:221" ht="15" customHeight="1" x14ac:dyDescent="0.25">
      <c r="A23" s="11" t="s">
        <v>109</v>
      </c>
      <c r="B23" s="39">
        <v>930399.35</v>
      </c>
      <c r="C23" s="39">
        <v>930399.35</v>
      </c>
      <c r="D23" s="39">
        <v>930399.35</v>
      </c>
      <c r="E23" s="39"/>
      <c r="F23" s="39">
        <v>0</v>
      </c>
      <c r="J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</row>
    <row r="24" spans="1:221" ht="15" customHeight="1" x14ac:dyDescent="0.25">
      <c r="A24" s="11" t="s">
        <v>110</v>
      </c>
      <c r="B24" s="39">
        <v>0</v>
      </c>
      <c r="C24" s="12">
        <v>0</v>
      </c>
      <c r="D24" s="39">
        <v>0</v>
      </c>
      <c r="E24" s="12"/>
      <c r="F24" s="39">
        <v>0</v>
      </c>
      <c r="J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</row>
    <row r="25" spans="1:221" ht="15" customHeight="1" x14ac:dyDescent="0.25">
      <c r="A25" s="11" t="s">
        <v>111</v>
      </c>
      <c r="B25" s="39">
        <v>0</v>
      </c>
      <c r="C25" s="12">
        <v>0</v>
      </c>
      <c r="D25" s="39">
        <v>0</v>
      </c>
      <c r="E25" s="12"/>
      <c r="F25" s="39">
        <v>0</v>
      </c>
      <c r="I25" s="617"/>
      <c r="J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</row>
    <row r="26" spans="1:221" ht="15" customHeight="1" x14ac:dyDescent="0.25">
      <c r="A26" s="11" t="s">
        <v>112</v>
      </c>
      <c r="B26" s="39">
        <v>0</v>
      </c>
      <c r="C26" s="12">
        <v>0</v>
      </c>
      <c r="D26" s="39">
        <v>0</v>
      </c>
      <c r="E26" s="12"/>
      <c r="F26" s="39">
        <v>0</v>
      </c>
      <c r="J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</row>
    <row r="27" spans="1:221" ht="15" customHeight="1" thickBot="1" x14ac:dyDescent="0.3">
      <c r="A27" s="11" t="s">
        <v>113</v>
      </c>
      <c r="B27" s="603">
        <v>594242</v>
      </c>
      <c r="C27" s="44">
        <v>594242</v>
      </c>
      <c r="D27" s="603">
        <v>594242</v>
      </c>
      <c r="E27" s="12"/>
      <c r="F27" s="39"/>
      <c r="J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</row>
    <row r="28" spans="1:221" ht="15" customHeight="1" x14ac:dyDescent="0.25">
      <c r="A28" s="11" t="s">
        <v>114</v>
      </c>
      <c r="B28" s="39"/>
      <c r="C28" s="12"/>
      <c r="D28" s="39"/>
      <c r="E28" s="12"/>
      <c r="F28" s="39"/>
      <c r="J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</row>
    <row r="29" spans="1:221" ht="15" customHeight="1" x14ac:dyDescent="0.25">
      <c r="A29" s="22" t="s">
        <v>115</v>
      </c>
      <c r="B29" s="40"/>
      <c r="C29" s="40"/>
      <c r="D29" s="40"/>
      <c r="E29" s="53"/>
      <c r="F29" s="40">
        <v>0</v>
      </c>
      <c r="J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</row>
    <row r="30" spans="1:221" ht="15" customHeight="1" thickBot="1" x14ac:dyDescent="0.3">
      <c r="A30" s="23" t="s">
        <v>116</v>
      </c>
      <c r="B30" s="612">
        <f>SUM(B23:B29)</f>
        <v>1524641.35</v>
      </c>
      <c r="C30" s="598">
        <f>SUM(C23:C29)</f>
        <v>1524641.35</v>
      </c>
      <c r="D30" s="612">
        <f>SUM(D23:D29)</f>
        <v>1524641.35</v>
      </c>
      <c r="E30" s="54"/>
      <c r="F30" s="41">
        <f>SUM(F23:F29)</f>
        <v>0</v>
      </c>
      <c r="J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</row>
    <row r="31" spans="1:221" ht="15" customHeight="1" x14ac:dyDescent="0.25">
      <c r="A31" s="24"/>
      <c r="B31" s="597"/>
      <c r="C31" s="597"/>
      <c r="D31" s="597"/>
      <c r="E31" s="55"/>
      <c r="F31" s="42"/>
      <c r="J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</row>
    <row r="32" spans="1:221" ht="15" customHeight="1" x14ac:dyDescent="0.25">
      <c r="A32" s="25" t="s">
        <v>117</v>
      </c>
      <c r="B32" s="43"/>
      <c r="C32" s="43"/>
      <c r="D32" s="43"/>
      <c r="E32" s="15"/>
      <c r="F32" s="43"/>
      <c r="J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</row>
    <row r="33" spans="1:221" ht="15" customHeight="1" x14ac:dyDescent="0.25">
      <c r="A33" s="13" t="s">
        <v>118</v>
      </c>
      <c r="B33" s="43">
        <v>5443059</v>
      </c>
      <c r="C33" s="43">
        <v>5443059</v>
      </c>
      <c r="D33" s="43">
        <v>5443059</v>
      </c>
      <c r="E33" s="605"/>
      <c r="F33" s="43">
        <v>0</v>
      </c>
      <c r="J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</row>
    <row r="34" spans="1:221" ht="15" customHeight="1" x14ac:dyDescent="0.25">
      <c r="A34" s="13" t="s">
        <v>119</v>
      </c>
      <c r="B34" s="43">
        <v>329205.8</v>
      </c>
      <c r="C34" s="43">
        <v>329205.8</v>
      </c>
      <c r="D34" s="43">
        <v>335716.35</v>
      </c>
      <c r="E34" s="616"/>
      <c r="F34" s="43">
        <v>0</v>
      </c>
      <c r="J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</row>
    <row r="35" spans="1:221" ht="15" customHeight="1" x14ac:dyDescent="0.25">
      <c r="A35" s="13" t="s">
        <v>120</v>
      </c>
      <c r="B35" s="43">
        <v>588833.14</v>
      </c>
      <c r="C35" s="43">
        <v>599453</v>
      </c>
      <c r="D35" s="43">
        <v>600393.87</v>
      </c>
      <c r="E35" s="616"/>
      <c r="F35" s="43">
        <v>0</v>
      </c>
      <c r="J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</row>
    <row r="36" spans="1:221" ht="15" customHeight="1" x14ac:dyDescent="0.25">
      <c r="A36" s="13" t="s">
        <v>121</v>
      </c>
      <c r="B36" s="43">
        <v>0</v>
      </c>
      <c r="C36" s="43">
        <v>0</v>
      </c>
      <c r="D36" s="43">
        <v>0</v>
      </c>
      <c r="E36" s="616"/>
      <c r="F36" s="43"/>
      <c r="J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</row>
    <row r="37" spans="1:221" ht="15" customHeight="1" x14ac:dyDescent="0.25">
      <c r="A37" s="13" t="s">
        <v>122</v>
      </c>
      <c r="B37" s="43">
        <f>379448.34+37875.4</f>
        <v>417323.74000000005</v>
      </c>
      <c r="C37" s="43">
        <f>379448.34+37875.4</f>
        <v>417323.74000000005</v>
      </c>
      <c r="D37" s="43">
        <v>624824.87</v>
      </c>
      <c r="E37" s="616"/>
      <c r="F37" s="43">
        <v>0</v>
      </c>
      <c r="J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</row>
    <row r="38" spans="1:221" ht="15" customHeight="1" x14ac:dyDescent="0.25">
      <c r="A38" s="13" t="s">
        <v>123</v>
      </c>
      <c r="B38" s="43">
        <v>2035003.62</v>
      </c>
      <c r="C38" s="43">
        <v>2041637.31</v>
      </c>
      <c r="D38" s="43">
        <v>2558794.1800000002</v>
      </c>
      <c r="E38" s="616"/>
      <c r="F38" s="43">
        <v>0</v>
      </c>
      <c r="J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</row>
    <row r="39" spans="1:221" ht="15" customHeight="1" thickBot="1" x14ac:dyDescent="0.3">
      <c r="A39" s="23" t="s">
        <v>124</v>
      </c>
      <c r="B39" s="615">
        <f>SUM(B32:B37)</f>
        <v>6778421.6799999997</v>
      </c>
      <c r="C39" s="596">
        <f>SUM(C32:C37)</f>
        <v>6789041.54</v>
      </c>
      <c r="D39" s="614">
        <f>SUM(D32:D38)</f>
        <v>9562788.2699999996</v>
      </c>
      <c r="E39" s="54"/>
      <c r="F39" s="41">
        <f>SUM(F32:F37)</f>
        <v>0</v>
      </c>
      <c r="J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</row>
    <row r="40" spans="1:221" ht="15" customHeight="1" x14ac:dyDescent="0.25">
      <c r="A40" s="26"/>
      <c r="B40" s="45"/>
      <c r="C40" s="613"/>
      <c r="D40" s="45"/>
      <c r="E40" s="57"/>
      <c r="F40" s="45"/>
      <c r="J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</row>
    <row r="41" spans="1:221" ht="15" customHeight="1" x14ac:dyDescent="0.25">
      <c r="A41" s="21" t="s">
        <v>125</v>
      </c>
      <c r="B41" s="39">
        <v>69405.17</v>
      </c>
      <c r="C41" s="12">
        <v>69405.17</v>
      </c>
      <c r="D41" s="39">
        <v>70842.009999999995</v>
      </c>
      <c r="E41" s="12"/>
      <c r="F41" s="39">
        <v>0</v>
      </c>
      <c r="J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</row>
    <row r="42" spans="1:221" ht="15" customHeight="1" x14ac:dyDescent="0.25">
      <c r="A42" s="27"/>
      <c r="B42" s="44"/>
      <c r="C42" s="56"/>
      <c r="D42" s="44"/>
      <c r="E42" s="56"/>
      <c r="F42" s="44"/>
      <c r="J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</row>
    <row r="43" spans="1:221" ht="15" customHeight="1" thickBot="1" x14ac:dyDescent="0.3">
      <c r="A43" s="23" t="s">
        <v>126</v>
      </c>
      <c r="B43" s="612">
        <f>B20+B30+B39+B41</f>
        <v>12592719.57</v>
      </c>
      <c r="C43" s="598">
        <f>C20+C30+C39+C41</f>
        <v>11832627.26</v>
      </c>
      <c r="D43" s="41">
        <f>D20+D30+D39+D41</f>
        <v>14248582.219999999</v>
      </c>
      <c r="E43" s="598"/>
      <c r="F43" s="41">
        <f>F20+F30+F39+F41</f>
        <v>0</v>
      </c>
      <c r="J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</row>
    <row r="44" spans="1:221" ht="15" customHeight="1" x14ac:dyDescent="0.25">
      <c r="A44" s="28"/>
      <c r="B44" s="610"/>
      <c r="C44" s="610"/>
      <c r="D44" s="611"/>
      <c r="E44" s="610"/>
      <c r="F44" s="609"/>
      <c r="J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</row>
    <row r="45" spans="1:221" ht="15" customHeight="1" x14ac:dyDescent="0.25">
      <c r="A45" s="21" t="s">
        <v>127</v>
      </c>
      <c r="B45" s="43"/>
      <c r="C45" s="43"/>
      <c r="D45" s="606"/>
      <c r="E45" s="43"/>
      <c r="F45" s="605"/>
      <c r="J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</row>
    <row r="46" spans="1:221" ht="15" customHeight="1" x14ac:dyDescent="0.25">
      <c r="A46" s="29"/>
      <c r="B46" s="43"/>
      <c r="C46" s="43"/>
      <c r="D46" s="606"/>
      <c r="E46" s="43"/>
      <c r="F46" s="605"/>
      <c r="J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</row>
    <row r="47" spans="1:221" ht="15" customHeight="1" x14ac:dyDescent="0.25">
      <c r="A47" s="21" t="s">
        <v>128</v>
      </c>
      <c r="B47" s="39"/>
      <c r="C47" s="39"/>
      <c r="D47" s="608"/>
      <c r="E47" s="39"/>
      <c r="F47" s="607"/>
      <c r="J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</row>
    <row r="48" spans="1:221" ht="15" customHeight="1" x14ac:dyDescent="0.25">
      <c r="A48" s="13" t="s">
        <v>129</v>
      </c>
      <c r="B48" s="43">
        <v>6231974.6599999992</v>
      </c>
      <c r="C48" s="43">
        <v>6635732.6799999997</v>
      </c>
      <c r="D48" s="606">
        <v>7756390.46</v>
      </c>
      <c r="E48" s="593"/>
      <c r="F48" s="605">
        <v>0</v>
      </c>
      <c r="J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</row>
    <row r="49" spans="1:221" ht="15" customHeight="1" x14ac:dyDescent="0.25">
      <c r="A49" s="16" t="s">
        <v>130</v>
      </c>
      <c r="B49" s="43">
        <v>79106.3</v>
      </c>
      <c r="C49" s="43">
        <v>80339.839999999997</v>
      </c>
      <c r="D49" s="606">
        <v>80810.94</v>
      </c>
      <c r="E49" s="593"/>
      <c r="F49" s="605">
        <v>0</v>
      </c>
      <c r="J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</row>
    <row r="50" spans="1:221" ht="15" customHeight="1" x14ac:dyDescent="0.25">
      <c r="A50" s="16" t="s">
        <v>131</v>
      </c>
      <c r="B50" s="43">
        <v>420493.54</v>
      </c>
      <c r="C50" s="43">
        <v>490065.6</v>
      </c>
      <c r="D50" s="606">
        <v>513849.02</v>
      </c>
      <c r="E50" s="593"/>
      <c r="F50" s="605">
        <v>0</v>
      </c>
      <c r="J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</row>
    <row r="51" spans="1:221" ht="15" customHeight="1" x14ac:dyDescent="0.25">
      <c r="A51" s="16" t="s">
        <v>132</v>
      </c>
      <c r="B51" s="43">
        <v>44066.94</v>
      </c>
      <c r="C51" s="43">
        <v>44219.06</v>
      </c>
      <c r="D51" s="15">
        <v>44349.599999999999</v>
      </c>
      <c r="E51" s="593"/>
      <c r="F51" s="605">
        <v>0</v>
      </c>
      <c r="J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</row>
    <row r="52" spans="1:221" ht="15" customHeight="1" x14ac:dyDescent="0.25">
      <c r="A52" s="16" t="s">
        <v>133</v>
      </c>
      <c r="B52" s="43">
        <v>0</v>
      </c>
      <c r="C52" s="43">
        <v>0</v>
      </c>
      <c r="D52" s="606">
        <v>0</v>
      </c>
      <c r="E52" s="593"/>
      <c r="F52" s="605">
        <v>0</v>
      </c>
      <c r="J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</row>
    <row r="53" spans="1:221" ht="15" customHeight="1" x14ac:dyDescent="0.25">
      <c r="A53" s="16" t="s">
        <v>134</v>
      </c>
      <c r="B53" s="43">
        <v>1000000</v>
      </c>
      <c r="C53" s="43">
        <f>1056980.66</f>
        <v>1056980.6599999999</v>
      </c>
      <c r="D53" s="606">
        <v>1501782.63</v>
      </c>
      <c r="E53" s="43"/>
      <c r="F53" s="605">
        <v>0</v>
      </c>
      <c r="J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</row>
    <row r="54" spans="1:221" ht="15" customHeight="1" x14ac:dyDescent="0.25">
      <c r="A54" s="13" t="s">
        <v>135</v>
      </c>
      <c r="B54" s="43">
        <v>0</v>
      </c>
      <c r="C54" s="43">
        <v>0</v>
      </c>
      <c r="D54" s="606"/>
      <c r="E54" s="43"/>
      <c r="F54" s="605">
        <v>0</v>
      </c>
      <c r="J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</row>
    <row r="55" spans="1:221" ht="15" customHeight="1" x14ac:dyDescent="0.25">
      <c r="A55" s="13" t="s">
        <v>136</v>
      </c>
      <c r="B55" s="43">
        <v>0</v>
      </c>
      <c r="C55" s="43"/>
      <c r="D55" s="606">
        <v>0</v>
      </c>
      <c r="E55" s="43"/>
      <c r="F55" s="605">
        <v>0</v>
      </c>
      <c r="J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</row>
    <row r="56" spans="1:221" ht="15" customHeight="1" thickBot="1" x14ac:dyDescent="0.3">
      <c r="A56" s="14" t="s">
        <v>137</v>
      </c>
      <c r="B56" s="43">
        <v>0</v>
      </c>
      <c r="C56" s="603"/>
      <c r="D56" s="604"/>
      <c r="E56" s="603"/>
      <c r="F56" s="602">
        <v>0</v>
      </c>
      <c r="J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</row>
    <row r="57" spans="1:221" ht="15" customHeight="1" x14ac:dyDescent="0.25">
      <c r="A57" s="23" t="s">
        <v>138</v>
      </c>
      <c r="B57" s="601">
        <f>SUM(B48:B56)</f>
        <v>7775641.4399999995</v>
      </c>
      <c r="C57" s="600">
        <f>SUM(C48:C56)</f>
        <v>8307337.8399999989</v>
      </c>
      <c r="D57" s="41">
        <f>SUM(D48:D56)</f>
        <v>9897182.6499999985</v>
      </c>
      <c r="E57" s="600"/>
      <c r="F57" s="41">
        <f>SUM(F48:F56)</f>
        <v>0</v>
      </c>
      <c r="J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</row>
    <row r="58" spans="1:221" ht="15" customHeight="1" x14ac:dyDescent="0.25">
      <c r="A58" s="30"/>
      <c r="B58" s="42"/>
      <c r="C58" s="55"/>
      <c r="D58" s="42"/>
      <c r="E58" s="55"/>
      <c r="F58" s="42"/>
      <c r="J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</row>
    <row r="59" spans="1:221" ht="15" customHeight="1" x14ac:dyDescent="0.25">
      <c r="A59" s="21" t="s">
        <v>139</v>
      </c>
      <c r="B59" s="43"/>
      <c r="C59" s="15"/>
      <c r="D59" s="43"/>
      <c r="E59" s="15"/>
      <c r="F59" s="43"/>
      <c r="J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</row>
    <row r="60" spans="1:221" ht="15" customHeight="1" x14ac:dyDescent="0.25">
      <c r="A60" s="13" t="s">
        <v>140</v>
      </c>
      <c r="B60" s="43">
        <f>3379226.46+770497.61</f>
        <v>4149724.07</v>
      </c>
      <c r="C60" s="15">
        <f>3777225.49+770497.61</f>
        <v>4547723.1000000006</v>
      </c>
      <c r="D60" s="599">
        <f>3780590.99+770497.61</f>
        <v>4551088.6000000006</v>
      </c>
      <c r="E60" s="599"/>
      <c r="F60" s="43"/>
      <c r="J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</row>
    <row r="61" spans="1:221" ht="15" customHeight="1" x14ac:dyDescent="0.25">
      <c r="A61" s="13" t="s">
        <v>141</v>
      </c>
      <c r="B61" s="43">
        <f>1008348+579181.58+162910.7</f>
        <v>1750440.28</v>
      </c>
      <c r="C61" s="15">
        <f>864988.41+496837.71+139749.23</f>
        <v>1501575.35</v>
      </c>
      <c r="D61" s="43">
        <f>718923.9+412940.22+116150.76</f>
        <v>1248014.8800000001</v>
      </c>
      <c r="E61" s="15"/>
      <c r="F61" s="43"/>
      <c r="J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</row>
    <row r="62" spans="1:221" ht="15" customHeight="1" x14ac:dyDescent="0.25">
      <c r="A62" s="13"/>
      <c r="B62" s="43"/>
      <c r="C62" s="15"/>
      <c r="D62" s="43"/>
      <c r="E62" s="15"/>
      <c r="F62" s="43"/>
      <c r="J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</row>
    <row r="63" spans="1:221" ht="15" customHeight="1" thickBot="1" x14ac:dyDescent="0.3">
      <c r="A63" s="23" t="s">
        <v>142</v>
      </c>
      <c r="B63" s="41">
        <f>SUM(B60:B61)</f>
        <v>5900164.3499999996</v>
      </c>
      <c r="C63" s="598">
        <f>SUM(C60:C61)</f>
        <v>6049298.4500000011</v>
      </c>
      <c r="D63" s="41">
        <f>SUM(D60:D61)</f>
        <v>5799103.4800000004</v>
      </c>
      <c r="E63" s="598"/>
      <c r="F63" s="41">
        <f>SUM(F60:F61)</f>
        <v>0</v>
      </c>
      <c r="J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</row>
    <row r="64" spans="1:221" ht="15" customHeight="1" x14ac:dyDescent="0.25">
      <c r="A64" s="30"/>
      <c r="B64" s="42"/>
      <c r="C64" s="597"/>
      <c r="D64" s="55"/>
      <c r="E64" s="597"/>
      <c r="F64" s="42"/>
      <c r="J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</row>
    <row r="65" spans="1:221" ht="15" customHeight="1" x14ac:dyDescent="0.25">
      <c r="A65" s="21" t="s">
        <v>143</v>
      </c>
      <c r="B65" s="43"/>
      <c r="C65" s="43"/>
      <c r="D65" s="15"/>
      <c r="E65" s="43"/>
      <c r="F65" s="43"/>
      <c r="J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</row>
    <row r="66" spans="1:221" ht="15" customHeight="1" x14ac:dyDescent="0.25">
      <c r="A66" s="13" t="s">
        <v>144</v>
      </c>
      <c r="B66" s="43">
        <v>0</v>
      </c>
      <c r="C66" s="43">
        <v>0</v>
      </c>
      <c r="D66" s="15">
        <v>0</v>
      </c>
      <c r="E66" s="43"/>
      <c r="F66" s="43">
        <v>0</v>
      </c>
      <c r="J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</row>
    <row r="67" spans="1:221" ht="15" customHeight="1" x14ac:dyDescent="0.25">
      <c r="A67" s="13" t="s">
        <v>145</v>
      </c>
      <c r="B67" s="43">
        <v>0</v>
      </c>
      <c r="C67" s="43">
        <v>0</v>
      </c>
      <c r="D67" s="15">
        <v>0</v>
      </c>
      <c r="E67" s="43"/>
      <c r="F67" s="43">
        <v>0</v>
      </c>
      <c r="J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</row>
    <row r="68" spans="1:221" ht="15" customHeight="1" x14ac:dyDescent="0.25">
      <c r="A68" s="13" t="s">
        <v>146</v>
      </c>
      <c r="B68" s="43">
        <v>0</v>
      </c>
      <c r="C68" s="43">
        <v>0</v>
      </c>
      <c r="D68" s="15"/>
      <c r="E68" s="43"/>
      <c r="F68" s="43">
        <v>0</v>
      </c>
      <c r="J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</row>
    <row r="69" spans="1:221" ht="15" customHeight="1" x14ac:dyDescent="0.25">
      <c r="A69" s="14" t="s">
        <v>147</v>
      </c>
      <c r="B69" s="43">
        <v>951917.4</v>
      </c>
      <c r="C69" s="43">
        <v>-482372</v>
      </c>
      <c r="D69" s="56">
        <v>-1447704</v>
      </c>
      <c r="E69" s="44"/>
      <c r="F69" s="44">
        <v>0</v>
      </c>
      <c r="J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</row>
    <row r="70" spans="1:221" ht="15" customHeight="1" thickBot="1" x14ac:dyDescent="0.3">
      <c r="A70" s="23" t="s">
        <v>148</v>
      </c>
      <c r="B70" s="41">
        <f>SUM(B66:B69)</f>
        <v>951917.4</v>
      </c>
      <c r="C70" s="596">
        <f>SUM(C66:C69)</f>
        <v>-482372</v>
      </c>
      <c r="D70" s="54">
        <f>SUM(D66:D69)</f>
        <v>-1447704</v>
      </c>
      <c r="E70" s="596"/>
      <c r="F70" s="41">
        <f>SUM(F66:F69)</f>
        <v>0</v>
      </c>
      <c r="J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</row>
    <row r="71" spans="1:221" ht="15.75" customHeight="1" x14ac:dyDescent="0.25">
      <c r="A71" s="32"/>
      <c r="B71" s="47"/>
      <c r="C71" s="56"/>
      <c r="D71" s="47"/>
      <c r="E71" s="56"/>
      <c r="F71" s="47"/>
      <c r="J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</row>
    <row r="72" spans="1:221" ht="16.5" customHeight="1" thickBot="1" x14ac:dyDescent="0.3">
      <c r="A72" s="33" t="s">
        <v>149</v>
      </c>
      <c r="B72" s="48">
        <f>B70+B63+B57</f>
        <v>14627723.189999999</v>
      </c>
      <c r="C72" s="60">
        <f>C70+C63+C57</f>
        <v>13874264.289999999</v>
      </c>
      <c r="D72" s="48">
        <f>D70+D63+D57</f>
        <v>14248582.129999999</v>
      </c>
      <c r="E72" s="60"/>
      <c r="F72" s="48">
        <f>F70+F63+F57</f>
        <v>0</v>
      </c>
      <c r="J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</row>
    <row r="73" spans="1:221" x14ac:dyDescent="0.25">
      <c r="B73" s="305"/>
      <c r="C73" s="305">
        <f>+C72-C43</f>
        <v>2041637.0299999993</v>
      </c>
      <c r="D73" s="305">
        <f>+D72-D43</f>
        <v>-8.9999999850988388E-2</v>
      </c>
      <c r="E73" s="305">
        <f>+E72-E43</f>
        <v>0</v>
      </c>
    </row>
    <row r="74" spans="1:221" x14ac:dyDescent="0.25">
      <c r="C74" s="595"/>
    </row>
    <row r="76" spans="1:221" x14ac:dyDescent="0.25">
      <c r="D76" s="305"/>
    </row>
  </sheetData>
  <mergeCells count="6">
    <mergeCell ref="A7:F7"/>
    <mergeCell ref="A1:F1"/>
    <mergeCell ref="A3:F3"/>
    <mergeCell ref="A4:F4"/>
    <mergeCell ref="A5:F5"/>
    <mergeCell ref="A6:F6"/>
  </mergeCells>
  <pageMargins left="0.2" right="0.2" top="0.25" bottom="0.2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E89"/>
  <sheetViews>
    <sheetView zoomScale="80" zoomScaleNormal="80" workbookViewId="0">
      <selection activeCell="AE1" sqref="AE1"/>
    </sheetView>
  </sheetViews>
  <sheetFormatPr defaultRowHeight="15" x14ac:dyDescent="0.25"/>
  <cols>
    <col min="1" max="1" width="53.42578125" style="8" customWidth="1"/>
    <col min="2" max="3" width="14.140625" style="8" customWidth="1"/>
    <col min="4" max="4" width="13.140625" style="8" customWidth="1"/>
    <col min="5" max="5" width="7.42578125" style="8" customWidth="1"/>
    <col min="6" max="6" width="1" style="8" customWidth="1"/>
    <col min="7" max="7" width="14.5703125" style="8" customWidth="1"/>
    <col min="8" max="8" width="14.28515625" style="8" customWidth="1"/>
    <col min="9" max="9" width="12.140625" style="8" customWidth="1"/>
    <col min="10" max="10" width="7.85546875" style="8" customWidth="1"/>
    <col min="11" max="11" width="1.140625" style="8" customWidth="1"/>
    <col min="12" max="12" width="14" style="8" hidden="1" customWidth="1"/>
    <col min="13" max="13" width="14.140625" style="8" hidden="1" customWidth="1"/>
    <col min="14" max="14" width="12.85546875" style="8" hidden="1" customWidth="1"/>
    <col min="15" max="15" width="6.85546875" style="8" hidden="1" customWidth="1"/>
    <col min="16" max="16" width="1" style="8" hidden="1" customWidth="1"/>
    <col min="17" max="17" width="13.85546875" style="8" hidden="1" customWidth="1"/>
    <col min="18" max="18" width="13.140625" style="8" hidden="1" customWidth="1"/>
    <col min="19" max="19" width="12.85546875" style="8" hidden="1" customWidth="1"/>
    <col min="20" max="20" width="7.7109375" style="8" hidden="1" customWidth="1"/>
    <col min="21" max="21" width="1.28515625" style="8" hidden="1" customWidth="1"/>
    <col min="22" max="22" width="14.28515625" style="8" customWidth="1"/>
    <col min="23" max="23" width="14.140625" style="8" customWidth="1"/>
    <col min="24" max="24" width="13" style="8" customWidth="1"/>
    <col min="25" max="25" width="7.28515625" style="8" customWidth="1"/>
    <col min="26" max="26" width="1" style="8" customWidth="1"/>
    <col min="27" max="27" width="16.28515625" style="8" customWidth="1"/>
    <col min="28" max="28" width="13.7109375" style="8" customWidth="1"/>
    <col min="29" max="29" width="10.28515625" style="8" customWidth="1"/>
    <col min="30" max="30" width="1" style="8" customWidth="1"/>
    <col min="31" max="31" width="66.42578125" style="8" hidden="1" customWidth="1"/>
  </cols>
  <sheetData>
    <row r="1" spans="1:31" ht="18.75" x14ac:dyDescent="0.25">
      <c r="A1" s="839" t="s">
        <v>0</v>
      </c>
      <c r="B1" s="840"/>
      <c r="C1" s="840"/>
      <c r="D1" s="840"/>
      <c r="E1" s="840"/>
      <c r="F1" s="840"/>
      <c r="G1" s="840"/>
      <c r="H1" s="840"/>
      <c r="I1" s="112"/>
      <c r="J1" s="112"/>
      <c r="K1" s="1"/>
      <c r="L1" s="1"/>
      <c r="M1" s="1"/>
      <c r="N1" s="1"/>
      <c r="O1" s="1"/>
      <c r="P1" s="62"/>
      <c r="Q1" s="112"/>
      <c r="R1" s="113"/>
      <c r="S1" s="114"/>
      <c r="T1" s="113"/>
      <c r="U1" s="62"/>
      <c r="V1" s="62"/>
      <c r="W1" s="62"/>
      <c r="X1" s="62"/>
      <c r="Y1" s="62"/>
      <c r="Z1" s="62"/>
      <c r="AA1" s="62"/>
      <c r="AB1" s="62"/>
      <c r="AC1" s="62"/>
      <c r="AD1" s="62"/>
      <c r="AE1" s="63"/>
    </row>
    <row r="2" spans="1:31" ht="18.75" x14ac:dyDescent="0.25">
      <c r="A2" s="125"/>
      <c r="B2" s="126"/>
      <c r="C2" s="126"/>
      <c r="D2" s="126"/>
      <c r="E2" s="126"/>
      <c r="F2" s="126"/>
      <c r="G2" s="126"/>
      <c r="H2" s="126"/>
      <c r="I2" s="115"/>
      <c r="J2" s="115"/>
      <c r="K2" s="4"/>
      <c r="L2" s="5"/>
      <c r="M2" s="5"/>
      <c r="N2" s="5"/>
      <c r="O2" s="5"/>
      <c r="P2" s="4"/>
      <c r="Q2" s="115"/>
      <c r="R2" s="116"/>
      <c r="S2" s="117"/>
      <c r="T2" s="116"/>
      <c r="U2" s="4"/>
      <c r="V2" s="65"/>
      <c r="W2" s="65"/>
      <c r="X2" s="65"/>
      <c r="Y2" s="65"/>
      <c r="Z2" s="4"/>
      <c r="AA2" s="65"/>
      <c r="AB2" s="65"/>
      <c r="AC2" s="65"/>
      <c r="AD2" s="4"/>
      <c r="AE2" s="66"/>
    </row>
    <row r="3" spans="1:31" s="100" customFormat="1" ht="18.75" x14ac:dyDescent="0.25">
      <c r="A3" s="841" t="s">
        <v>166</v>
      </c>
      <c r="B3" s="842"/>
      <c r="C3" s="842"/>
      <c r="D3" s="842"/>
      <c r="E3" s="842"/>
      <c r="F3" s="842"/>
      <c r="G3" s="842"/>
      <c r="H3" s="842"/>
      <c r="I3" s="118"/>
      <c r="J3" s="118"/>
      <c r="K3" s="97"/>
      <c r="L3" s="97"/>
      <c r="M3" s="97"/>
      <c r="N3" s="97"/>
      <c r="O3" s="97"/>
      <c r="P3" s="98"/>
      <c r="Q3" s="118"/>
      <c r="R3" s="119"/>
      <c r="S3" s="120"/>
      <c r="T3" s="119"/>
      <c r="U3" s="98"/>
      <c r="V3" s="98"/>
      <c r="W3" s="98"/>
      <c r="X3" s="98"/>
      <c r="Y3" s="98"/>
      <c r="Z3" s="98"/>
      <c r="AA3" s="98"/>
      <c r="AB3" s="98"/>
      <c r="AC3" s="98"/>
      <c r="AD3" s="98"/>
      <c r="AE3" s="99"/>
    </row>
    <row r="4" spans="1:31" ht="18.75" x14ac:dyDescent="0.25">
      <c r="A4" s="843" t="s">
        <v>2</v>
      </c>
      <c r="B4" s="844"/>
      <c r="C4" s="844"/>
      <c r="D4" s="844"/>
      <c r="E4" s="844"/>
      <c r="F4" s="844"/>
      <c r="G4" s="844"/>
      <c r="H4" s="844"/>
      <c r="I4" s="127"/>
      <c r="J4" s="127"/>
      <c r="K4" s="67"/>
      <c r="L4" s="67"/>
      <c r="M4" s="67"/>
      <c r="N4" s="67"/>
      <c r="O4" s="67"/>
      <c r="P4" s="65"/>
      <c r="Q4" s="121"/>
      <c r="R4" s="122"/>
      <c r="S4" s="117"/>
      <c r="T4" s="122"/>
      <c r="U4" s="65"/>
      <c r="V4" s="65"/>
      <c r="W4" s="65"/>
      <c r="X4" s="65"/>
      <c r="Y4" s="65"/>
      <c r="Z4" s="65"/>
      <c r="AA4" s="65"/>
      <c r="AB4" s="68"/>
      <c r="AC4" s="65"/>
      <c r="AD4" s="65"/>
      <c r="AE4" s="66"/>
    </row>
    <row r="5" spans="1:31" ht="18.75" x14ac:dyDescent="0.25">
      <c r="A5" s="843" t="s">
        <v>3</v>
      </c>
      <c r="B5" s="845"/>
      <c r="C5" s="845"/>
      <c r="D5" s="845"/>
      <c r="E5" s="845"/>
      <c r="F5" s="845"/>
      <c r="G5" s="845"/>
      <c r="H5" s="845"/>
      <c r="I5" s="115"/>
      <c r="J5" s="115"/>
      <c r="K5" s="67"/>
      <c r="L5" s="67"/>
      <c r="M5" s="67"/>
      <c r="N5" s="67"/>
      <c r="O5" s="67"/>
      <c r="P5" s="65"/>
      <c r="Q5" s="121"/>
      <c r="R5" s="122"/>
      <c r="S5" s="117"/>
      <c r="T5" s="122"/>
      <c r="U5" s="65"/>
      <c r="V5" s="65"/>
      <c r="W5" s="65"/>
      <c r="X5" s="65"/>
      <c r="Y5" s="65"/>
      <c r="Z5" s="65"/>
      <c r="AA5" s="65"/>
      <c r="AB5" s="68"/>
      <c r="AC5" s="65"/>
      <c r="AD5" s="65"/>
      <c r="AE5" s="66"/>
    </row>
    <row r="6" spans="1:31" s="100" customFormat="1" ht="18.75" x14ac:dyDescent="0.25">
      <c r="A6" s="837" t="s">
        <v>4</v>
      </c>
      <c r="B6" s="846"/>
      <c r="C6" s="846"/>
      <c r="D6" s="846"/>
      <c r="E6" s="846"/>
      <c r="F6" s="846"/>
      <c r="G6" s="846"/>
      <c r="H6" s="846"/>
      <c r="I6" s="118"/>
      <c r="J6" s="118"/>
      <c r="K6" s="101"/>
      <c r="L6" s="101"/>
      <c r="M6" s="101"/>
      <c r="N6" s="101"/>
      <c r="O6" s="101"/>
      <c r="P6" s="98"/>
      <c r="Q6" s="123"/>
      <c r="R6" s="124"/>
      <c r="S6" s="120"/>
      <c r="T6" s="124"/>
      <c r="U6" s="98"/>
      <c r="V6" s="98"/>
      <c r="W6" s="98"/>
      <c r="X6" s="98"/>
      <c r="Y6" s="98"/>
      <c r="Z6" s="98"/>
      <c r="AA6" s="102"/>
      <c r="AB6" s="103"/>
      <c r="AC6" s="98"/>
      <c r="AD6" s="98"/>
      <c r="AE6" s="99"/>
    </row>
    <row r="7" spans="1:31" s="100" customFormat="1" ht="18.75" x14ac:dyDescent="0.25">
      <c r="A7" s="837" t="s">
        <v>5</v>
      </c>
      <c r="B7" s="838"/>
      <c r="C7" s="838"/>
      <c r="D7" s="838"/>
      <c r="E7" s="838"/>
      <c r="F7" s="838"/>
      <c r="G7" s="838"/>
      <c r="H7" s="838"/>
      <c r="I7" s="128"/>
      <c r="J7" s="128"/>
      <c r="K7" s="101"/>
      <c r="L7" s="101"/>
      <c r="M7" s="101"/>
      <c r="N7" s="101"/>
      <c r="O7" s="101"/>
      <c r="P7" s="98"/>
      <c r="Q7" s="123"/>
      <c r="R7" s="124"/>
      <c r="S7" s="120"/>
      <c r="T7" s="124"/>
      <c r="U7" s="98"/>
      <c r="V7" s="98"/>
      <c r="W7" s="98"/>
      <c r="X7" s="98"/>
      <c r="Y7" s="98"/>
      <c r="Z7" s="98"/>
      <c r="AA7" s="98"/>
      <c r="AB7" s="256"/>
      <c r="AC7" s="98"/>
      <c r="AD7" s="98"/>
      <c r="AE7" s="99"/>
    </row>
    <row r="8" spans="1:31" ht="27" thickBot="1" x14ac:dyDescent="0.3">
      <c r="A8" s="592"/>
      <c r="B8" s="168"/>
      <c r="C8" s="65"/>
      <c r="D8" s="65"/>
      <c r="E8" s="65"/>
      <c r="F8" s="70"/>
      <c r="G8" s="65"/>
      <c r="H8" s="65"/>
      <c r="I8" s="65"/>
      <c r="J8" s="65"/>
      <c r="K8" s="70"/>
      <c r="L8" s="65"/>
      <c r="M8" s="65"/>
      <c r="N8" s="65"/>
      <c r="O8" s="65"/>
      <c r="P8" s="70"/>
      <c r="Q8" s="65"/>
      <c r="R8" s="65"/>
      <c r="S8" s="235"/>
      <c r="T8" s="65"/>
      <c r="U8" s="70"/>
      <c r="V8" s="65"/>
      <c r="W8" s="65"/>
      <c r="X8" s="65"/>
      <c r="Y8" s="65"/>
      <c r="Z8" s="70"/>
      <c r="AA8" s="65"/>
      <c r="AB8" s="68"/>
      <c r="AC8" s="65"/>
      <c r="AD8" s="70"/>
      <c r="AE8" s="71"/>
    </row>
    <row r="9" spans="1:31" ht="15.75" x14ac:dyDescent="0.25">
      <c r="A9" s="140"/>
      <c r="B9" s="852" t="s">
        <v>6</v>
      </c>
      <c r="C9" s="853"/>
      <c r="D9" s="853"/>
      <c r="E9" s="854"/>
      <c r="F9" s="200"/>
      <c r="G9" s="852" t="s">
        <v>7</v>
      </c>
      <c r="H9" s="853"/>
      <c r="I9" s="853"/>
      <c r="J9" s="854"/>
      <c r="K9" s="200"/>
      <c r="L9" s="855" t="s">
        <v>8</v>
      </c>
      <c r="M9" s="856"/>
      <c r="N9" s="856"/>
      <c r="O9" s="857"/>
      <c r="P9" s="200"/>
      <c r="Q9" s="852" t="s">
        <v>9</v>
      </c>
      <c r="R9" s="853"/>
      <c r="S9" s="853"/>
      <c r="T9" s="854"/>
      <c r="U9" s="200"/>
      <c r="V9" s="855" t="s">
        <v>10</v>
      </c>
      <c r="W9" s="856"/>
      <c r="X9" s="856"/>
      <c r="Y9" s="857"/>
      <c r="Z9" s="200"/>
      <c r="AA9" s="855" t="s">
        <v>11</v>
      </c>
      <c r="AB9" s="856"/>
      <c r="AC9" s="857"/>
      <c r="AD9" s="158"/>
      <c r="AE9" s="847" t="s">
        <v>12</v>
      </c>
    </row>
    <row r="10" spans="1:31" ht="31.5" x14ac:dyDescent="0.25">
      <c r="A10" s="141" t="s">
        <v>13</v>
      </c>
      <c r="B10" s="169" t="s">
        <v>14</v>
      </c>
      <c r="C10" s="104" t="s">
        <v>15</v>
      </c>
      <c r="D10" s="850" t="s">
        <v>16</v>
      </c>
      <c r="E10" s="851"/>
      <c r="F10" s="201"/>
      <c r="G10" s="169" t="s">
        <v>14</v>
      </c>
      <c r="H10" s="104" t="s">
        <v>15</v>
      </c>
      <c r="I10" s="850" t="s">
        <v>16</v>
      </c>
      <c r="J10" s="851"/>
      <c r="K10" s="201"/>
      <c r="L10" s="169" t="s">
        <v>14</v>
      </c>
      <c r="M10" s="104" t="s">
        <v>15</v>
      </c>
      <c r="N10" s="850" t="s">
        <v>16</v>
      </c>
      <c r="O10" s="851"/>
      <c r="P10" s="201"/>
      <c r="Q10" s="169" t="s">
        <v>14</v>
      </c>
      <c r="R10" s="104" t="s">
        <v>15</v>
      </c>
      <c r="S10" s="850" t="s">
        <v>16</v>
      </c>
      <c r="T10" s="851"/>
      <c r="U10" s="201"/>
      <c r="V10" s="169" t="s">
        <v>14</v>
      </c>
      <c r="W10" s="104" t="s">
        <v>15</v>
      </c>
      <c r="X10" s="850" t="s">
        <v>16</v>
      </c>
      <c r="Y10" s="851"/>
      <c r="Z10" s="201"/>
      <c r="AA10" s="247" t="s">
        <v>17</v>
      </c>
      <c r="AB10" s="850" t="s">
        <v>18</v>
      </c>
      <c r="AC10" s="851"/>
      <c r="AD10" s="159"/>
      <c r="AE10" s="848"/>
    </row>
    <row r="11" spans="1:31" ht="16.5" thickBot="1" x14ac:dyDescent="0.3">
      <c r="A11" s="142"/>
      <c r="B11" s="170" t="s">
        <v>19</v>
      </c>
      <c r="C11" s="105" t="s">
        <v>19</v>
      </c>
      <c r="D11" s="106" t="s">
        <v>19</v>
      </c>
      <c r="E11" s="171" t="s">
        <v>20</v>
      </c>
      <c r="F11" s="202"/>
      <c r="G11" s="209" t="s">
        <v>19</v>
      </c>
      <c r="H11" s="107" t="s">
        <v>19</v>
      </c>
      <c r="I11" s="108" t="s">
        <v>19</v>
      </c>
      <c r="J11" s="210" t="s">
        <v>20</v>
      </c>
      <c r="K11" s="202"/>
      <c r="L11" s="209" t="s">
        <v>19</v>
      </c>
      <c r="M11" s="107" t="s">
        <v>19</v>
      </c>
      <c r="N11" s="108" t="s">
        <v>19</v>
      </c>
      <c r="O11" s="210" t="s">
        <v>20</v>
      </c>
      <c r="P11" s="202"/>
      <c r="Q11" s="209" t="s">
        <v>19</v>
      </c>
      <c r="R11" s="107" t="s">
        <v>19</v>
      </c>
      <c r="S11" s="108" t="s">
        <v>19</v>
      </c>
      <c r="T11" s="210" t="s">
        <v>20</v>
      </c>
      <c r="U11" s="202"/>
      <c r="V11" s="209" t="s">
        <v>19</v>
      </c>
      <c r="W11" s="107" t="s">
        <v>19</v>
      </c>
      <c r="X11" s="108" t="s">
        <v>19</v>
      </c>
      <c r="Y11" s="210" t="s">
        <v>20</v>
      </c>
      <c r="Z11" s="202"/>
      <c r="AA11" s="209" t="s">
        <v>19</v>
      </c>
      <c r="AB11" s="108" t="s">
        <v>19</v>
      </c>
      <c r="AC11" s="210" t="s">
        <v>20</v>
      </c>
      <c r="AD11" s="160"/>
      <c r="AE11" s="849"/>
    </row>
    <row r="12" spans="1:31" ht="15.75" x14ac:dyDescent="0.25">
      <c r="A12" s="143" t="s">
        <v>21</v>
      </c>
      <c r="B12" s="172"/>
      <c r="C12" s="72"/>
      <c r="D12" s="72"/>
      <c r="E12" s="173"/>
      <c r="F12" s="203"/>
      <c r="G12" s="184"/>
      <c r="H12" s="73"/>
      <c r="I12" s="73"/>
      <c r="J12" s="185"/>
      <c r="K12" s="203"/>
      <c r="L12" s="184"/>
      <c r="M12" s="73"/>
      <c r="N12" s="73"/>
      <c r="O12" s="185"/>
      <c r="P12" s="203"/>
      <c r="Q12" s="184"/>
      <c r="R12" s="73"/>
      <c r="S12" s="73"/>
      <c r="T12" s="185"/>
      <c r="U12" s="203"/>
      <c r="V12" s="184"/>
      <c r="W12" s="73"/>
      <c r="X12" s="73"/>
      <c r="Y12" s="185"/>
      <c r="Z12" s="203"/>
      <c r="AA12" s="184"/>
      <c r="AB12" s="73"/>
      <c r="AC12" s="185"/>
      <c r="AD12" s="161"/>
      <c r="AE12" s="74"/>
    </row>
    <row r="13" spans="1:31" ht="15.75" x14ac:dyDescent="0.25">
      <c r="A13" s="144" t="s">
        <v>22</v>
      </c>
      <c r="B13" s="174">
        <v>0</v>
      </c>
      <c r="C13" s="75">
        <v>0</v>
      </c>
      <c r="D13" s="76">
        <f t="shared" ref="D13:D22" si="0">C13-B13</f>
        <v>0</v>
      </c>
      <c r="E13" s="175" t="str">
        <f t="shared" ref="E13:E23" si="1">IF(ISERROR(D13/B13),"-",D13/B13)</f>
        <v>-</v>
      </c>
      <c r="F13" s="204"/>
      <c r="G13" s="174">
        <v>0</v>
      </c>
      <c r="H13" s="75">
        <v>0</v>
      </c>
      <c r="I13" s="76">
        <f t="shared" ref="I13:I22" si="2">H13-G13</f>
        <v>0</v>
      </c>
      <c r="J13" s="175" t="str">
        <f t="shared" ref="J13:J23" si="3">IF(ISERROR(I13/G13),"-",I13/G13)</f>
        <v>-</v>
      </c>
      <c r="K13" s="204"/>
      <c r="L13" s="174">
        <v>0</v>
      </c>
      <c r="M13" s="75">
        <v>0</v>
      </c>
      <c r="N13" s="76">
        <f t="shared" ref="N13:N22" si="4">M13-L13</f>
        <v>0</v>
      </c>
      <c r="O13" s="175" t="str">
        <f t="shared" ref="O13:O23" si="5">IF(ISERROR(N13/L13),"-",N13/L13)</f>
        <v>-</v>
      </c>
      <c r="P13" s="204"/>
      <c r="Q13" s="174">
        <v>0</v>
      </c>
      <c r="R13" s="75">
        <v>0</v>
      </c>
      <c r="S13" s="76">
        <f t="shared" ref="S13:S22" si="6">R13-Q13</f>
        <v>0</v>
      </c>
      <c r="T13" s="175" t="str">
        <f t="shared" ref="T13:T27" si="7">IF(ISERROR(S13/Q13),"-",S13/Q13)</f>
        <v>-</v>
      </c>
      <c r="U13" s="204"/>
      <c r="V13" s="181">
        <f t="shared" ref="V13:V22" si="8">B13+G13+L13+Q13</f>
        <v>0</v>
      </c>
      <c r="W13" s="76">
        <f t="shared" ref="W13:W22" si="9">C13+H13+M13+R13</f>
        <v>0</v>
      </c>
      <c r="X13" s="76">
        <f t="shared" ref="X13:X22" si="10">W13-V13</f>
        <v>0</v>
      </c>
      <c r="Y13" s="175" t="str">
        <f t="shared" ref="Y13:Y23" si="11">IF(ISERROR(X13/V13),"-",X13/V13)</f>
        <v>-</v>
      </c>
      <c r="Z13" s="204"/>
      <c r="AA13" s="181">
        <f t="shared" ref="AA13:AA21" si="12">B13*4</f>
        <v>0</v>
      </c>
      <c r="AB13" s="76">
        <f t="shared" ref="AB13:AB21" si="13">AA13-W13</f>
        <v>0</v>
      </c>
      <c r="AC13" s="175" t="str">
        <f t="shared" ref="AC13:AC23" si="14">IF(ISERROR(AB13/AA13),"-",AB13/AA13)</f>
        <v>-</v>
      </c>
      <c r="AD13" s="162"/>
      <c r="AE13" s="77"/>
    </row>
    <row r="14" spans="1:31" ht="15.75" x14ac:dyDescent="0.25">
      <c r="A14" s="145" t="s">
        <v>23</v>
      </c>
      <c r="B14" s="174">
        <v>0</v>
      </c>
      <c r="C14" s="75">
        <v>0</v>
      </c>
      <c r="D14" s="76">
        <f t="shared" si="0"/>
        <v>0</v>
      </c>
      <c r="E14" s="176" t="str">
        <f t="shared" si="1"/>
        <v>-</v>
      </c>
      <c r="F14" s="204"/>
      <c r="G14" s="174">
        <v>0</v>
      </c>
      <c r="H14" s="75">
        <v>0</v>
      </c>
      <c r="I14" s="76">
        <f t="shared" si="2"/>
        <v>0</v>
      </c>
      <c r="J14" s="176" t="str">
        <f t="shared" si="3"/>
        <v>-</v>
      </c>
      <c r="K14" s="204"/>
      <c r="L14" s="174">
        <v>0</v>
      </c>
      <c r="M14" s="75">
        <v>0</v>
      </c>
      <c r="N14" s="76">
        <f t="shared" si="4"/>
        <v>0</v>
      </c>
      <c r="O14" s="176" t="str">
        <f t="shared" si="5"/>
        <v>-</v>
      </c>
      <c r="P14" s="204"/>
      <c r="Q14" s="174">
        <v>0</v>
      </c>
      <c r="R14" s="75">
        <v>0</v>
      </c>
      <c r="S14" s="76">
        <f t="shared" si="6"/>
        <v>0</v>
      </c>
      <c r="T14" s="176" t="str">
        <f t="shared" si="7"/>
        <v>-</v>
      </c>
      <c r="U14" s="204"/>
      <c r="V14" s="181">
        <f t="shared" si="8"/>
        <v>0</v>
      </c>
      <c r="W14" s="76">
        <f t="shared" si="9"/>
        <v>0</v>
      </c>
      <c r="X14" s="76">
        <f t="shared" si="10"/>
        <v>0</v>
      </c>
      <c r="Y14" s="176" t="str">
        <f t="shared" si="11"/>
        <v>-</v>
      </c>
      <c r="Z14" s="204"/>
      <c r="AA14" s="181">
        <f t="shared" si="12"/>
        <v>0</v>
      </c>
      <c r="AB14" s="76">
        <f t="shared" si="13"/>
        <v>0</v>
      </c>
      <c r="AC14" s="176" t="str">
        <f t="shared" si="14"/>
        <v>-</v>
      </c>
      <c r="AD14" s="162"/>
      <c r="AE14" s="77"/>
    </row>
    <row r="15" spans="1:31" ht="15.75" x14ac:dyDescent="0.25">
      <c r="A15" s="145" t="s">
        <v>24</v>
      </c>
      <c r="B15" s="174">
        <v>110000</v>
      </c>
      <c r="C15" s="75">
        <v>0</v>
      </c>
      <c r="D15" s="76">
        <f t="shared" si="0"/>
        <v>-110000</v>
      </c>
      <c r="E15" s="175">
        <f t="shared" si="1"/>
        <v>-1</v>
      </c>
      <c r="F15" s="205"/>
      <c r="G15" s="174">
        <v>110000</v>
      </c>
      <c r="H15" s="75">
        <v>0</v>
      </c>
      <c r="I15" s="76">
        <f t="shared" si="2"/>
        <v>-110000</v>
      </c>
      <c r="J15" s="175">
        <f t="shared" si="3"/>
        <v>-1</v>
      </c>
      <c r="K15" s="205"/>
      <c r="L15" s="174">
        <v>0</v>
      </c>
      <c r="M15" s="75">
        <v>0</v>
      </c>
      <c r="N15" s="76">
        <f t="shared" si="4"/>
        <v>0</v>
      </c>
      <c r="O15" s="175" t="str">
        <f t="shared" si="5"/>
        <v>-</v>
      </c>
      <c r="P15" s="205"/>
      <c r="Q15" s="174">
        <v>0</v>
      </c>
      <c r="R15" s="75">
        <v>0</v>
      </c>
      <c r="S15" s="76">
        <f t="shared" si="6"/>
        <v>0</v>
      </c>
      <c r="T15" s="175" t="str">
        <f t="shared" si="7"/>
        <v>-</v>
      </c>
      <c r="U15" s="205"/>
      <c r="V15" s="181">
        <f t="shared" si="8"/>
        <v>220000</v>
      </c>
      <c r="W15" s="76">
        <f t="shared" si="9"/>
        <v>0</v>
      </c>
      <c r="X15" s="76">
        <f t="shared" si="10"/>
        <v>-220000</v>
      </c>
      <c r="Y15" s="175">
        <f t="shared" si="11"/>
        <v>-1</v>
      </c>
      <c r="Z15" s="205"/>
      <c r="AA15" s="181">
        <f t="shared" si="12"/>
        <v>440000</v>
      </c>
      <c r="AB15" s="76">
        <f>AA15-W15</f>
        <v>440000</v>
      </c>
      <c r="AC15" s="175">
        <f t="shared" si="14"/>
        <v>1</v>
      </c>
      <c r="AD15" s="163"/>
      <c r="AE15" s="78"/>
    </row>
    <row r="16" spans="1:31" ht="15.75" x14ac:dyDescent="0.25">
      <c r="A16" s="145" t="s">
        <v>25</v>
      </c>
      <c r="B16" s="174">
        <v>0</v>
      </c>
      <c r="C16" s="75">
        <v>0</v>
      </c>
      <c r="D16" s="76">
        <f t="shared" si="0"/>
        <v>0</v>
      </c>
      <c r="E16" s="175" t="str">
        <f t="shared" si="1"/>
        <v>-</v>
      </c>
      <c r="F16" s="204"/>
      <c r="G16" s="174">
        <v>0</v>
      </c>
      <c r="H16" s="75">
        <v>0</v>
      </c>
      <c r="I16" s="76">
        <f t="shared" si="2"/>
        <v>0</v>
      </c>
      <c r="J16" s="175" t="str">
        <f t="shared" si="3"/>
        <v>-</v>
      </c>
      <c r="K16" s="204"/>
      <c r="L16" s="174">
        <v>0</v>
      </c>
      <c r="M16" s="75">
        <v>0</v>
      </c>
      <c r="N16" s="76">
        <f t="shared" si="4"/>
        <v>0</v>
      </c>
      <c r="O16" s="175" t="str">
        <f t="shared" si="5"/>
        <v>-</v>
      </c>
      <c r="P16" s="204"/>
      <c r="Q16" s="174">
        <v>0</v>
      </c>
      <c r="R16" s="75">
        <v>0</v>
      </c>
      <c r="S16" s="76">
        <f t="shared" si="6"/>
        <v>0</v>
      </c>
      <c r="T16" s="175" t="str">
        <f t="shared" si="7"/>
        <v>-</v>
      </c>
      <c r="U16" s="204"/>
      <c r="V16" s="181">
        <f t="shared" si="8"/>
        <v>0</v>
      </c>
      <c r="W16" s="76">
        <f t="shared" si="9"/>
        <v>0</v>
      </c>
      <c r="X16" s="76">
        <f t="shared" si="10"/>
        <v>0</v>
      </c>
      <c r="Y16" s="175" t="str">
        <f t="shared" si="11"/>
        <v>-</v>
      </c>
      <c r="Z16" s="204"/>
      <c r="AA16" s="181">
        <f t="shared" si="12"/>
        <v>0</v>
      </c>
      <c r="AB16" s="76">
        <f t="shared" si="13"/>
        <v>0</v>
      </c>
      <c r="AC16" s="175" t="str">
        <f t="shared" si="14"/>
        <v>-</v>
      </c>
      <c r="AD16" s="162"/>
      <c r="AE16" s="77"/>
    </row>
    <row r="17" spans="1:31" ht="15.75" x14ac:dyDescent="0.25">
      <c r="A17" s="145" t="s">
        <v>26</v>
      </c>
      <c r="B17" s="174">
        <v>166691.04499999998</v>
      </c>
      <c r="C17" s="75">
        <v>174171.01</v>
      </c>
      <c r="D17" s="76">
        <f t="shared" si="0"/>
        <v>7479.9650000000256</v>
      </c>
      <c r="E17" s="175">
        <f t="shared" si="1"/>
        <v>4.4873226393175626E-2</v>
      </c>
      <c r="F17" s="204"/>
      <c r="G17" s="174">
        <v>166691.04499999998</v>
      </c>
      <c r="H17" s="75">
        <v>149888.95999999999</v>
      </c>
      <c r="I17" s="76">
        <f t="shared" si="2"/>
        <v>-16802.084999999992</v>
      </c>
      <c r="J17" s="175">
        <f t="shared" si="3"/>
        <v>-0.1007977663107217</v>
      </c>
      <c r="K17" s="204"/>
      <c r="L17" s="174">
        <v>0</v>
      </c>
      <c r="M17" s="75">
        <v>0</v>
      </c>
      <c r="N17" s="76">
        <f t="shared" si="4"/>
        <v>0</v>
      </c>
      <c r="O17" s="176" t="str">
        <f t="shared" si="5"/>
        <v>-</v>
      </c>
      <c r="P17" s="204"/>
      <c r="Q17" s="174">
        <v>0</v>
      </c>
      <c r="R17" s="75">
        <v>0</v>
      </c>
      <c r="S17" s="76">
        <f t="shared" si="6"/>
        <v>0</v>
      </c>
      <c r="T17" s="176" t="str">
        <f t="shared" si="7"/>
        <v>-</v>
      </c>
      <c r="U17" s="204"/>
      <c r="V17" s="181">
        <f t="shared" si="8"/>
        <v>333382.08999999997</v>
      </c>
      <c r="W17" s="76">
        <f t="shared" si="9"/>
        <v>324059.96999999997</v>
      </c>
      <c r="X17" s="76">
        <f t="shared" si="10"/>
        <v>-9322.1199999999953</v>
      </c>
      <c r="Y17" s="175">
        <f t="shared" si="11"/>
        <v>-2.7962269958773118E-2</v>
      </c>
      <c r="Z17" s="204"/>
      <c r="AA17" s="181">
        <f t="shared" si="12"/>
        <v>666764.17999999993</v>
      </c>
      <c r="AB17" s="76">
        <f>AA17-W17</f>
        <v>342704.20999999996</v>
      </c>
      <c r="AC17" s="175">
        <f t="shared" si="14"/>
        <v>0.51398113497938658</v>
      </c>
      <c r="AD17" s="162"/>
      <c r="AE17" s="77"/>
    </row>
    <row r="18" spans="1:31" ht="15.75" x14ac:dyDescent="0.25">
      <c r="A18" s="289" t="s">
        <v>27</v>
      </c>
      <c r="B18" s="174">
        <v>0</v>
      </c>
      <c r="C18" s="75">
        <v>0</v>
      </c>
      <c r="D18" s="76">
        <f t="shared" si="0"/>
        <v>0</v>
      </c>
      <c r="E18" s="175" t="str">
        <f t="shared" si="1"/>
        <v>-</v>
      </c>
      <c r="F18" s="204"/>
      <c r="G18" s="174">
        <v>0</v>
      </c>
      <c r="H18" s="75">
        <v>0</v>
      </c>
      <c r="I18" s="76">
        <f t="shared" si="2"/>
        <v>0</v>
      </c>
      <c r="J18" s="175" t="str">
        <f t="shared" si="3"/>
        <v>-</v>
      </c>
      <c r="K18" s="204"/>
      <c r="L18" s="174">
        <v>0</v>
      </c>
      <c r="M18" s="75">
        <v>0</v>
      </c>
      <c r="N18" s="76">
        <f t="shared" si="4"/>
        <v>0</v>
      </c>
      <c r="O18" s="176" t="str">
        <f t="shared" si="5"/>
        <v>-</v>
      </c>
      <c r="P18" s="204"/>
      <c r="Q18" s="174">
        <v>0</v>
      </c>
      <c r="R18" s="75">
        <v>0</v>
      </c>
      <c r="S18" s="76">
        <f t="shared" si="6"/>
        <v>0</v>
      </c>
      <c r="T18" s="176" t="str">
        <f t="shared" si="7"/>
        <v>-</v>
      </c>
      <c r="U18" s="204"/>
      <c r="V18" s="181">
        <f t="shared" si="8"/>
        <v>0</v>
      </c>
      <c r="W18" s="76">
        <f t="shared" si="9"/>
        <v>0</v>
      </c>
      <c r="X18" s="76">
        <f t="shared" si="10"/>
        <v>0</v>
      </c>
      <c r="Y18" s="175" t="str">
        <f t="shared" si="11"/>
        <v>-</v>
      </c>
      <c r="Z18" s="204"/>
      <c r="AA18" s="181">
        <f t="shared" si="12"/>
        <v>0</v>
      </c>
      <c r="AB18" s="76">
        <f t="shared" si="13"/>
        <v>0</v>
      </c>
      <c r="AC18" s="175" t="str">
        <f t="shared" si="14"/>
        <v>-</v>
      </c>
      <c r="AD18" s="162"/>
      <c r="AE18" s="77"/>
    </row>
    <row r="19" spans="1:31" ht="15.75" x14ac:dyDescent="0.25">
      <c r="A19" s="144" t="s">
        <v>28</v>
      </c>
      <c r="B19" s="174">
        <v>0</v>
      </c>
      <c r="C19" s="75">
        <v>0</v>
      </c>
      <c r="D19" s="76">
        <f t="shared" si="0"/>
        <v>0</v>
      </c>
      <c r="E19" s="175" t="str">
        <f t="shared" si="1"/>
        <v>-</v>
      </c>
      <c r="F19" s="204"/>
      <c r="G19" s="174">
        <v>0</v>
      </c>
      <c r="H19" s="75">
        <v>0</v>
      </c>
      <c r="I19" s="76">
        <f t="shared" si="2"/>
        <v>0</v>
      </c>
      <c r="J19" s="175" t="str">
        <f t="shared" si="3"/>
        <v>-</v>
      </c>
      <c r="K19" s="204"/>
      <c r="L19" s="174">
        <v>0</v>
      </c>
      <c r="M19" s="75">
        <v>0</v>
      </c>
      <c r="N19" s="76">
        <f t="shared" si="4"/>
        <v>0</v>
      </c>
      <c r="O19" s="176" t="str">
        <f t="shared" si="5"/>
        <v>-</v>
      </c>
      <c r="P19" s="204"/>
      <c r="Q19" s="174">
        <v>0</v>
      </c>
      <c r="R19" s="75">
        <v>0</v>
      </c>
      <c r="S19" s="76">
        <f t="shared" si="6"/>
        <v>0</v>
      </c>
      <c r="T19" s="176" t="str">
        <f t="shared" si="7"/>
        <v>-</v>
      </c>
      <c r="U19" s="204"/>
      <c r="V19" s="181">
        <f t="shared" si="8"/>
        <v>0</v>
      </c>
      <c r="W19" s="76">
        <f t="shared" si="9"/>
        <v>0</v>
      </c>
      <c r="X19" s="76">
        <f t="shared" si="10"/>
        <v>0</v>
      </c>
      <c r="Y19" s="175" t="str">
        <f t="shared" si="11"/>
        <v>-</v>
      </c>
      <c r="Z19" s="204"/>
      <c r="AA19" s="181">
        <f t="shared" si="12"/>
        <v>0</v>
      </c>
      <c r="AB19" s="76">
        <f t="shared" si="13"/>
        <v>0</v>
      </c>
      <c r="AC19" s="175" t="str">
        <f t="shared" si="14"/>
        <v>-</v>
      </c>
      <c r="AD19" s="162"/>
      <c r="AE19" s="77"/>
    </row>
    <row r="20" spans="1:31" ht="15.75" x14ac:dyDescent="0.25">
      <c r="A20" s="145" t="s">
        <v>29</v>
      </c>
      <c r="B20" s="174">
        <v>0</v>
      </c>
      <c r="C20" s="75">
        <v>0</v>
      </c>
      <c r="D20" s="76">
        <f t="shared" si="0"/>
        <v>0</v>
      </c>
      <c r="E20" s="175" t="str">
        <f t="shared" si="1"/>
        <v>-</v>
      </c>
      <c r="F20" s="204"/>
      <c r="G20" s="174">
        <v>0</v>
      </c>
      <c r="H20" s="75">
        <v>0</v>
      </c>
      <c r="I20" s="76">
        <f t="shared" si="2"/>
        <v>0</v>
      </c>
      <c r="J20" s="175" t="str">
        <f t="shared" si="3"/>
        <v>-</v>
      </c>
      <c r="K20" s="204"/>
      <c r="L20" s="174">
        <v>0</v>
      </c>
      <c r="M20" s="75">
        <v>0</v>
      </c>
      <c r="N20" s="76">
        <f t="shared" si="4"/>
        <v>0</v>
      </c>
      <c r="O20" s="176" t="str">
        <f t="shared" si="5"/>
        <v>-</v>
      </c>
      <c r="P20" s="204"/>
      <c r="Q20" s="174">
        <v>0</v>
      </c>
      <c r="R20" s="75">
        <v>0</v>
      </c>
      <c r="S20" s="76">
        <f t="shared" si="6"/>
        <v>0</v>
      </c>
      <c r="T20" s="176" t="str">
        <f t="shared" si="7"/>
        <v>-</v>
      </c>
      <c r="U20" s="204"/>
      <c r="V20" s="181">
        <f t="shared" si="8"/>
        <v>0</v>
      </c>
      <c r="W20" s="76">
        <f t="shared" si="9"/>
        <v>0</v>
      </c>
      <c r="X20" s="76">
        <f t="shared" si="10"/>
        <v>0</v>
      </c>
      <c r="Y20" s="175" t="str">
        <f t="shared" si="11"/>
        <v>-</v>
      </c>
      <c r="Z20" s="204"/>
      <c r="AA20" s="181">
        <f t="shared" si="12"/>
        <v>0</v>
      </c>
      <c r="AB20" s="76">
        <f t="shared" si="13"/>
        <v>0</v>
      </c>
      <c r="AC20" s="175" t="str">
        <f t="shared" si="14"/>
        <v>-</v>
      </c>
      <c r="AD20" s="162"/>
      <c r="AE20" s="77"/>
    </row>
    <row r="21" spans="1:31" ht="15.75" x14ac:dyDescent="0.25">
      <c r="A21" s="145" t="s">
        <v>30</v>
      </c>
      <c r="B21" s="174">
        <v>0</v>
      </c>
      <c r="C21" s="75">
        <v>0</v>
      </c>
      <c r="D21" s="76">
        <f t="shared" si="0"/>
        <v>0</v>
      </c>
      <c r="E21" s="175" t="str">
        <f t="shared" si="1"/>
        <v>-</v>
      </c>
      <c r="F21" s="204"/>
      <c r="G21" s="174">
        <v>0</v>
      </c>
      <c r="H21" s="75">
        <v>0</v>
      </c>
      <c r="I21" s="76">
        <f t="shared" si="2"/>
        <v>0</v>
      </c>
      <c r="J21" s="175" t="str">
        <f t="shared" si="3"/>
        <v>-</v>
      </c>
      <c r="K21" s="204"/>
      <c r="L21" s="174">
        <v>0</v>
      </c>
      <c r="M21" s="75">
        <v>0</v>
      </c>
      <c r="N21" s="76">
        <f t="shared" si="4"/>
        <v>0</v>
      </c>
      <c r="O21" s="175" t="str">
        <f t="shared" si="5"/>
        <v>-</v>
      </c>
      <c r="P21" s="204"/>
      <c r="Q21" s="174">
        <v>0</v>
      </c>
      <c r="R21" s="75">
        <v>0</v>
      </c>
      <c r="S21" s="76">
        <f t="shared" si="6"/>
        <v>0</v>
      </c>
      <c r="T21" s="175" t="str">
        <f t="shared" si="7"/>
        <v>-</v>
      </c>
      <c r="U21" s="204"/>
      <c r="V21" s="181">
        <f t="shared" si="8"/>
        <v>0</v>
      </c>
      <c r="W21" s="76">
        <f t="shared" si="9"/>
        <v>0</v>
      </c>
      <c r="X21" s="76">
        <f t="shared" si="10"/>
        <v>0</v>
      </c>
      <c r="Y21" s="175" t="str">
        <f t="shared" si="11"/>
        <v>-</v>
      </c>
      <c r="Z21" s="204"/>
      <c r="AA21" s="181">
        <f t="shared" si="12"/>
        <v>0</v>
      </c>
      <c r="AB21" s="76">
        <f t="shared" si="13"/>
        <v>0</v>
      </c>
      <c r="AC21" s="175" t="str">
        <f t="shared" si="14"/>
        <v>-</v>
      </c>
      <c r="AD21" s="162"/>
      <c r="AE21" s="78"/>
    </row>
    <row r="22" spans="1:31" ht="15.75" x14ac:dyDescent="0.25">
      <c r="A22" s="145" t="s">
        <v>31</v>
      </c>
      <c r="B22" s="174">
        <v>1554999.9999999993</v>
      </c>
      <c r="C22" s="75">
        <v>1493639.27</v>
      </c>
      <c r="D22" s="76">
        <f t="shared" si="0"/>
        <v>-61360.729999999283</v>
      </c>
      <c r="E22" s="175">
        <f t="shared" si="1"/>
        <v>-3.9460276527330744E-2</v>
      </c>
      <c r="F22" s="204"/>
      <c r="G22" s="174">
        <v>1554999.9999999993</v>
      </c>
      <c r="H22" s="75">
        <v>1538564.66</v>
      </c>
      <c r="I22" s="76">
        <f t="shared" si="2"/>
        <v>-16435.339999999385</v>
      </c>
      <c r="J22" s="175">
        <f t="shared" si="3"/>
        <v>-1.0569350482314723E-2</v>
      </c>
      <c r="K22" s="204"/>
      <c r="L22" s="174">
        <v>0</v>
      </c>
      <c r="M22" s="75">
        <v>0</v>
      </c>
      <c r="N22" s="76">
        <f t="shared" si="4"/>
        <v>0</v>
      </c>
      <c r="O22" s="176" t="str">
        <f t="shared" si="5"/>
        <v>-</v>
      </c>
      <c r="P22" s="204"/>
      <c r="Q22" s="174">
        <v>0</v>
      </c>
      <c r="R22" s="75">
        <v>0</v>
      </c>
      <c r="S22" s="76">
        <f t="shared" si="6"/>
        <v>0</v>
      </c>
      <c r="T22" s="176" t="str">
        <f t="shared" si="7"/>
        <v>-</v>
      </c>
      <c r="U22" s="204"/>
      <c r="V22" s="181">
        <f t="shared" si="8"/>
        <v>3109999.9999999986</v>
      </c>
      <c r="W22" s="76">
        <f t="shared" si="9"/>
        <v>3032203.9299999997</v>
      </c>
      <c r="X22" s="76">
        <f t="shared" si="10"/>
        <v>-77796.069999998901</v>
      </c>
      <c r="Y22" s="175">
        <f t="shared" si="11"/>
        <v>-2.5014813504822809E-2</v>
      </c>
      <c r="Z22" s="204"/>
      <c r="AA22" s="181">
        <f>B22*4</f>
        <v>6219999.9999999972</v>
      </c>
      <c r="AB22" s="76">
        <f>AA22-W22</f>
        <v>3187796.0699999975</v>
      </c>
      <c r="AC22" s="175">
        <f t="shared" si="14"/>
        <v>0.51250740675241135</v>
      </c>
      <c r="AD22" s="162"/>
      <c r="AE22" s="77"/>
    </row>
    <row r="23" spans="1:31" ht="15.75" x14ac:dyDescent="0.25">
      <c r="A23" s="146" t="s">
        <v>32</v>
      </c>
      <c r="B23" s="177">
        <f>SUM(B13:B22)</f>
        <v>1831691.0449999992</v>
      </c>
      <c r="C23" s="110">
        <f>SUM(C13:C22)</f>
        <v>1667810.28</v>
      </c>
      <c r="D23" s="110">
        <f>SUM(D13:D22)</f>
        <v>-163880.76499999926</v>
      </c>
      <c r="E23" s="178">
        <f t="shared" si="1"/>
        <v>-8.946965452899254E-2</v>
      </c>
      <c r="F23" s="206"/>
      <c r="G23" s="177">
        <f>SUM(G13:G22)</f>
        <v>1831691.0449999992</v>
      </c>
      <c r="H23" s="110">
        <f>SUM(H13:H22)</f>
        <v>1688453.6199999999</v>
      </c>
      <c r="I23" s="110">
        <f>SUM(I13:I22)</f>
        <v>-143237.42499999938</v>
      </c>
      <c r="J23" s="178">
        <f t="shared" si="3"/>
        <v>-7.8199555209377269E-2</v>
      </c>
      <c r="K23" s="206"/>
      <c r="L23" s="177">
        <f>SUM(L13:L22)</f>
        <v>0</v>
      </c>
      <c r="M23" s="110">
        <f>SUM(M13:M22)</f>
        <v>0</v>
      </c>
      <c r="N23" s="110">
        <f>SUM(N13:N22)</f>
        <v>0</v>
      </c>
      <c r="O23" s="178" t="str">
        <f t="shared" si="5"/>
        <v>-</v>
      </c>
      <c r="P23" s="206"/>
      <c r="Q23" s="177">
        <f>SUM(Q13:Q22)</f>
        <v>0</v>
      </c>
      <c r="R23" s="110">
        <f>SUM(R13:R22)</f>
        <v>0</v>
      </c>
      <c r="S23" s="110">
        <f>SUM(S13:S22)</f>
        <v>0</v>
      </c>
      <c r="T23" s="236" t="str">
        <f t="shared" si="7"/>
        <v>-</v>
      </c>
      <c r="U23" s="206"/>
      <c r="V23" s="177">
        <f>SUM(V13:V22)</f>
        <v>3663382.0899999985</v>
      </c>
      <c r="W23" s="110">
        <f>SUM(W13:W22)</f>
        <v>3356263.8999999994</v>
      </c>
      <c r="X23" s="110">
        <f>SUM(X13:X22)</f>
        <v>-307118.1899999989</v>
      </c>
      <c r="Y23" s="236">
        <f t="shared" si="11"/>
        <v>-8.3834604869184967E-2</v>
      </c>
      <c r="Z23" s="206"/>
      <c r="AA23" s="242">
        <f>SUM(AA13:AA22)</f>
        <v>7326764.1799999969</v>
      </c>
      <c r="AB23" s="109">
        <f>SUM(AB13:AB22)</f>
        <v>3970500.2799999975</v>
      </c>
      <c r="AC23" s="248">
        <f t="shared" si="14"/>
        <v>0.54191730243459246</v>
      </c>
      <c r="AD23" s="164"/>
      <c r="AE23" s="80"/>
    </row>
    <row r="24" spans="1:31" ht="15.75" x14ac:dyDescent="0.25">
      <c r="A24" s="147"/>
      <c r="B24" s="179"/>
      <c r="C24" s="81"/>
      <c r="D24" s="81"/>
      <c r="E24" s="180"/>
      <c r="F24" s="204"/>
      <c r="G24" s="211"/>
      <c r="H24" s="129"/>
      <c r="I24" s="129"/>
      <c r="J24" s="212"/>
      <c r="K24" s="204"/>
      <c r="L24" s="179"/>
      <c r="M24" s="81"/>
      <c r="N24" s="81"/>
      <c r="O24" s="180"/>
      <c r="P24" s="204"/>
      <c r="Q24" s="211"/>
      <c r="R24" s="129"/>
      <c r="S24" s="129"/>
      <c r="T24" s="237" t="str">
        <f t="shared" si="7"/>
        <v>-</v>
      </c>
      <c r="U24" s="204"/>
      <c r="V24" s="179"/>
      <c r="W24" s="81"/>
      <c r="X24" s="81"/>
      <c r="Y24" s="180"/>
      <c r="Z24" s="204"/>
      <c r="AA24" s="179"/>
      <c r="AB24" s="81"/>
      <c r="AC24" s="180"/>
      <c r="AD24" s="162"/>
      <c r="AE24" s="77"/>
    </row>
    <row r="25" spans="1:31" ht="15.75" x14ac:dyDescent="0.25">
      <c r="A25" s="148" t="s">
        <v>33</v>
      </c>
      <c r="B25" s="181"/>
      <c r="C25" s="76"/>
      <c r="D25" s="76">
        <f>C25-B25</f>
        <v>0</v>
      </c>
      <c r="E25" s="176" t="str">
        <f>IF(ISERROR(D25/B25),"-",D25/B25)</f>
        <v>-</v>
      </c>
      <c r="F25" s="204"/>
      <c r="G25" s="213">
        <v>0</v>
      </c>
      <c r="H25" s="130">
        <v>0</v>
      </c>
      <c r="I25" s="130">
        <f>H25-G25</f>
        <v>0</v>
      </c>
      <c r="J25" s="214" t="str">
        <f>IF(ISERROR(I25/G25),"-",I25/G25)</f>
        <v>-</v>
      </c>
      <c r="K25" s="204"/>
      <c r="L25" s="181">
        <v>0</v>
      </c>
      <c r="M25" s="76">
        <v>0</v>
      </c>
      <c r="N25" s="76">
        <f>L25-M25</f>
        <v>0</v>
      </c>
      <c r="O25" s="176" t="str">
        <f>IF(ISERROR(N25/L25),"-",N25/L25)</f>
        <v>-</v>
      </c>
      <c r="P25" s="204"/>
      <c r="Q25" s="213"/>
      <c r="R25" s="130"/>
      <c r="S25" s="130">
        <f>Q25-R25</f>
        <v>0</v>
      </c>
      <c r="T25" s="214" t="str">
        <f t="shared" si="7"/>
        <v>-</v>
      </c>
      <c r="U25" s="204"/>
      <c r="V25" s="181">
        <f>B25+G25+L25+Q25</f>
        <v>0</v>
      </c>
      <c r="W25" s="76">
        <f>C25+H25+M25+R25</f>
        <v>0</v>
      </c>
      <c r="X25" s="76"/>
      <c r="Y25" s="186"/>
      <c r="Z25" s="204"/>
      <c r="AA25" s="181"/>
      <c r="AB25" s="76"/>
      <c r="AC25" s="186"/>
      <c r="AD25" s="162"/>
      <c r="AE25" s="77"/>
    </row>
    <row r="26" spans="1:31" ht="15.75" x14ac:dyDescent="0.25">
      <c r="A26" s="149"/>
      <c r="B26" s="182"/>
      <c r="C26" s="82"/>
      <c r="D26" s="82"/>
      <c r="E26" s="183"/>
      <c r="F26" s="203"/>
      <c r="G26" s="215"/>
      <c r="H26" s="131"/>
      <c r="I26" s="131"/>
      <c r="J26" s="216"/>
      <c r="K26" s="203"/>
      <c r="L26" s="182"/>
      <c r="M26" s="82"/>
      <c r="N26" s="82"/>
      <c r="O26" s="183"/>
      <c r="P26" s="203"/>
      <c r="Q26" s="215"/>
      <c r="R26" s="131"/>
      <c r="S26" s="131"/>
      <c r="T26" s="227" t="str">
        <f t="shared" si="7"/>
        <v>-</v>
      </c>
      <c r="U26" s="203"/>
      <c r="V26" s="182"/>
      <c r="W26" s="82"/>
      <c r="X26" s="82"/>
      <c r="Y26" s="183"/>
      <c r="Z26" s="203"/>
      <c r="AA26" s="182"/>
      <c r="AB26" s="82"/>
      <c r="AC26" s="183"/>
      <c r="AD26" s="161"/>
      <c r="AE26" s="77"/>
    </row>
    <row r="27" spans="1:31" ht="15.75" x14ac:dyDescent="0.25">
      <c r="A27" s="146" t="s">
        <v>34</v>
      </c>
      <c r="B27" s="177">
        <f>B23+B25</f>
        <v>1831691.0449999992</v>
      </c>
      <c r="C27" s="110">
        <f>C23+C25</f>
        <v>1667810.28</v>
      </c>
      <c r="D27" s="110">
        <f>D23+D25</f>
        <v>-163880.76499999926</v>
      </c>
      <c r="E27" s="178">
        <f>IF(ISERROR(D27/B27),"-",D27/B27)</f>
        <v>-8.946965452899254E-2</v>
      </c>
      <c r="F27" s="206"/>
      <c r="G27" s="177">
        <f>G23+G25</f>
        <v>1831691.0449999992</v>
      </c>
      <c r="H27" s="110">
        <f>H23+H25</f>
        <v>1688453.6199999999</v>
      </c>
      <c r="I27" s="110">
        <f>I23+I25</f>
        <v>-143237.42499999938</v>
      </c>
      <c r="J27" s="178">
        <f>IF(ISERROR(I27/G27),"-",I27/G27)</f>
        <v>-7.8199555209377269E-2</v>
      </c>
      <c r="K27" s="206"/>
      <c r="L27" s="177">
        <f>L23+L25</f>
        <v>0</v>
      </c>
      <c r="M27" s="110">
        <f>M23+M25</f>
        <v>0</v>
      </c>
      <c r="N27" s="110">
        <f>N23+N25</f>
        <v>0</v>
      </c>
      <c r="O27" s="178" t="str">
        <f>IF(ISERROR(N27/L27),"-",N27/L27)</f>
        <v>-</v>
      </c>
      <c r="P27" s="206"/>
      <c r="Q27" s="177">
        <f>Q23+Q25</f>
        <v>0</v>
      </c>
      <c r="R27" s="110">
        <f>R23+R25</f>
        <v>0</v>
      </c>
      <c r="S27" s="110">
        <f>S23+S25</f>
        <v>0</v>
      </c>
      <c r="T27" s="178" t="str">
        <f t="shared" si="7"/>
        <v>-</v>
      </c>
      <c r="U27" s="206"/>
      <c r="V27" s="177">
        <f>V23+V25</f>
        <v>3663382.0899999985</v>
      </c>
      <c r="W27" s="110">
        <f>W23+W25</f>
        <v>3356263.8999999994</v>
      </c>
      <c r="X27" s="110">
        <f>X23+X25</f>
        <v>-307118.1899999989</v>
      </c>
      <c r="Y27" s="178">
        <f>IF(ISERROR(X27/V27),"-",X27/V27)</f>
        <v>-8.3834604869184967E-2</v>
      </c>
      <c r="Z27" s="206"/>
      <c r="AA27" s="242">
        <f>AA23+AA25</f>
        <v>7326764.1799999969</v>
      </c>
      <c r="AB27" s="109">
        <f>AA27-W27</f>
        <v>3970500.2799999975</v>
      </c>
      <c r="AC27" s="248">
        <f>IF(ISERROR(AB27/AA27),"-",AB27/AA27)</f>
        <v>0.54191730243459246</v>
      </c>
      <c r="AD27" s="164"/>
      <c r="AE27" s="80"/>
    </row>
    <row r="28" spans="1:31" ht="15.75" x14ac:dyDescent="0.25">
      <c r="A28" s="150"/>
      <c r="B28" s="184"/>
      <c r="C28" s="73"/>
      <c r="D28" s="73"/>
      <c r="E28" s="185"/>
      <c r="F28" s="203"/>
      <c r="G28" s="217"/>
      <c r="H28" s="132"/>
      <c r="I28" s="132"/>
      <c r="J28" s="218"/>
      <c r="K28" s="203"/>
      <c r="L28" s="184"/>
      <c r="M28" s="73"/>
      <c r="N28" s="73"/>
      <c r="O28" s="185"/>
      <c r="P28" s="203"/>
      <c r="Q28" s="217"/>
      <c r="R28" s="132"/>
      <c r="S28" s="132"/>
      <c r="T28" s="218"/>
      <c r="U28" s="203"/>
      <c r="V28" s="179"/>
      <c r="W28" s="81"/>
      <c r="X28" s="73"/>
      <c r="Y28" s="185"/>
      <c r="Z28" s="203"/>
      <c r="AA28" s="179"/>
      <c r="AB28" s="73"/>
      <c r="AC28" s="185"/>
      <c r="AD28" s="161"/>
      <c r="AE28" s="77"/>
    </row>
    <row r="29" spans="1:31" ht="15.75" x14ac:dyDescent="0.25">
      <c r="A29" s="148" t="s">
        <v>35</v>
      </c>
      <c r="B29" s="181"/>
      <c r="C29" s="76"/>
      <c r="D29" s="76"/>
      <c r="E29" s="186"/>
      <c r="F29" s="204"/>
      <c r="G29" s="213"/>
      <c r="H29" s="130"/>
      <c r="I29" s="130"/>
      <c r="J29" s="219"/>
      <c r="K29" s="204"/>
      <c r="L29" s="181"/>
      <c r="M29" s="76"/>
      <c r="N29" s="76"/>
      <c r="O29" s="186"/>
      <c r="P29" s="204"/>
      <c r="Q29" s="213"/>
      <c r="R29" s="130"/>
      <c r="S29" s="130"/>
      <c r="T29" s="219"/>
      <c r="U29" s="204"/>
      <c r="V29" s="181"/>
      <c r="W29" s="76"/>
      <c r="X29" s="76"/>
      <c r="Y29" s="186"/>
      <c r="Z29" s="204"/>
      <c r="AA29" s="181"/>
      <c r="AB29" s="76"/>
      <c r="AC29" s="186"/>
      <c r="AD29" s="162"/>
      <c r="AE29" s="77"/>
    </row>
    <row r="30" spans="1:31" ht="15.75" x14ac:dyDescent="0.25">
      <c r="A30" s="151"/>
      <c r="B30" s="181"/>
      <c r="C30" s="76"/>
      <c r="D30" s="76"/>
      <c r="E30" s="186"/>
      <c r="F30" s="204"/>
      <c r="G30" s="213"/>
      <c r="H30" s="130"/>
      <c r="I30" s="130"/>
      <c r="J30" s="219"/>
      <c r="K30" s="204"/>
      <c r="L30" s="181"/>
      <c r="M30" s="76"/>
      <c r="N30" s="76"/>
      <c r="O30" s="234"/>
      <c r="P30" s="204"/>
      <c r="Q30" s="213"/>
      <c r="R30" s="130"/>
      <c r="S30" s="130"/>
      <c r="T30" s="219"/>
      <c r="U30" s="204"/>
      <c r="V30" s="181"/>
      <c r="W30" s="76"/>
      <c r="X30" s="76"/>
      <c r="Y30" s="186"/>
      <c r="Z30" s="204"/>
      <c r="AA30" s="181"/>
      <c r="AB30" s="76"/>
      <c r="AC30" s="186"/>
      <c r="AD30" s="162"/>
      <c r="AE30" s="77"/>
    </row>
    <row r="31" spans="1:31" ht="15.75" x14ac:dyDescent="0.25">
      <c r="A31" s="148" t="s">
        <v>36</v>
      </c>
      <c r="B31" s="181"/>
      <c r="C31" s="76"/>
      <c r="D31" s="76"/>
      <c r="E31" s="186"/>
      <c r="F31" s="204"/>
      <c r="G31" s="213"/>
      <c r="H31" s="130"/>
      <c r="I31" s="130"/>
      <c r="J31" s="219"/>
      <c r="K31" s="204"/>
      <c r="L31" s="181"/>
      <c r="M31" s="76"/>
      <c r="N31" s="76"/>
      <c r="O31" s="186"/>
      <c r="P31" s="204"/>
      <c r="Q31" s="213"/>
      <c r="R31" s="130"/>
      <c r="S31" s="130"/>
      <c r="T31" s="219"/>
      <c r="U31" s="204"/>
      <c r="V31" s="181"/>
      <c r="W31" s="76"/>
      <c r="X31" s="76"/>
      <c r="Y31" s="186"/>
      <c r="Z31" s="204"/>
      <c r="AA31" s="181"/>
      <c r="AB31" s="76"/>
      <c r="AC31" s="186"/>
      <c r="AD31" s="162"/>
      <c r="AE31" s="77"/>
    </row>
    <row r="32" spans="1:31" ht="15.75" x14ac:dyDescent="0.25">
      <c r="A32" s="145" t="s">
        <v>37</v>
      </c>
      <c r="B32" s="181">
        <v>116162.5</v>
      </c>
      <c r="C32" s="76">
        <v>115284.00000000001</v>
      </c>
      <c r="D32" s="76">
        <f t="shared" ref="D32:D39" si="15">B32-C32</f>
        <v>878.49999999998545</v>
      </c>
      <c r="E32" s="175">
        <f t="shared" ref="E32:E40" si="16">IF(ISERROR(D32/B32),"-",D32/B32)</f>
        <v>7.562681588292138E-3</v>
      </c>
      <c r="F32" s="205"/>
      <c r="G32" s="213">
        <v>116162.5</v>
      </c>
      <c r="H32" s="130">
        <v>115284</v>
      </c>
      <c r="I32" s="130">
        <f t="shared" ref="I32:I39" si="17">G32-H32</f>
        <v>878.5</v>
      </c>
      <c r="J32" s="220">
        <f t="shared" ref="J32:J40" si="18">IF(ISERROR(I32/G32),"-",I32/G32)</f>
        <v>7.5626815882922629E-3</v>
      </c>
      <c r="K32" s="205"/>
      <c r="L32" s="181">
        <v>0</v>
      </c>
      <c r="M32" s="76">
        <v>0</v>
      </c>
      <c r="N32" s="76">
        <f t="shared" ref="N32:N39" si="19">L32-M32</f>
        <v>0</v>
      </c>
      <c r="O32" s="175" t="str">
        <f t="shared" ref="O32:O40" si="20">IF(ISERROR(N32/L32),"-",N32/L32)</f>
        <v>-</v>
      </c>
      <c r="P32" s="205"/>
      <c r="Q32" s="213">
        <v>0</v>
      </c>
      <c r="R32" s="130">
        <v>0</v>
      </c>
      <c r="S32" s="130">
        <f t="shared" ref="S32:S39" si="21">Q32-R32</f>
        <v>0</v>
      </c>
      <c r="T32" s="220" t="str">
        <f t="shared" ref="T32:T40" si="22">IF(ISERROR(S32/Q32),"-",S32/Q32)</f>
        <v>-</v>
      </c>
      <c r="U32" s="205"/>
      <c r="V32" s="181">
        <f t="shared" ref="V32:W39" si="23">B32+G32+L32+Q32</f>
        <v>232325</v>
      </c>
      <c r="W32" s="76">
        <f t="shared" si="23"/>
        <v>230568</v>
      </c>
      <c r="X32" s="76">
        <f t="shared" ref="X32:X39" si="24">V32-W32</f>
        <v>1757</v>
      </c>
      <c r="Y32" s="175">
        <f t="shared" ref="Y32:Y40" si="25">IF(ISERROR(X32/V32),"-",X32/V32)</f>
        <v>7.5626815882922629E-3</v>
      </c>
      <c r="Z32" s="205"/>
      <c r="AA32" s="181">
        <f t="shared" ref="AA32:AA39" si="26">B32*4</f>
        <v>464650</v>
      </c>
      <c r="AB32" s="76">
        <f t="shared" ref="AB32:AB39" si="27">AA32-W32</f>
        <v>234082</v>
      </c>
      <c r="AC32" s="175">
        <f t="shared" ref="AC32:AC40" si="28">IF(ISERROR(AB32/AA32),"-",AB32/AA32)</f>
        <v>0.50378134079414616</v>
      </c>
      <c r="AD32" s="163"/>
      <c r="AE32" s="83"/>
    </row>
    <row r="33" spans="1:31" ht="15.75" x14ac:dyDescent="0.25">
      <c r="A33" s="145" t="s">
        <v>38</v>
      </c>
      <c r="B33" s="181">
        <v>1200</v>
      </c>
      <c r="C33" s="76">
        <v>1050</v>
      </c>
      <c r="D33" s="76">
        <f t="shared" si="15"/>
        <v>150</v>
      </c>
      <c r="E33" s="175">
        <f t="shared" si="16"/>
        <v>0.125</v>
      </c>
      <c r="F33" s="205"/>
      <c r="G33" s="213">
        <v>1200</v>
      </c>
      <c r="H33" s="130">
        <v>1050</v>
      </c>
      <c r="I33" s="130">
        <f t="shared" si="17"/>
        <v>150</v>
      </c>
      <c r="J33" s="220">
        <f t="shared" si="18"/>
        <v>0.125</v>
      </c>
      <c r="K33" s="205"/>
      <c r="L33" s="181">
        <v>0</v>
      </c>
      <c r="M33" s="76">
        <v>0</v>
      </c>
      <c r="N33" s="76">
        <f t="shared" si="19"/>
        <v>0</v>
      </c>
      <c r="O33" s="175" t="str">
        <f t="shared" si="20"/>
        <v>-</v>
      </c>
      <c r="P33" s="205"/>
      <c r="Q33" s="213">
        <v>0</v>
      </c>
      <c r="R33" s="130">
        <v>0</v>
      </c>
      <c r="S33" s="130">
        <f t="shared" si="21"/>
        <v>0</v>
      </c>
      <c r="T33" s="220" t="str">
        <f t="shared" si="22"/>
        <v>-</v>
      </c>
      <c r="U33" s="205"/>
      <c r="V33" s="181">
        <f t="shared" si="23"/>
        <v>2400</v>
      </c>
      <c r="W33" s="76">
        <f t="shared" si="23"/>
        <v>2100</v>
      </c>
      <c r="X33" s="76">
        <f t="shared" si="24"/>
        <v>300</v>
      </c>
      <c r="Y33" s="175">
        <f t="shared" si="25"/>
        <v>0.125</v>
      </c>
      <c r="Z33" s="205"/>
      <c r="AA33" s="181">
        <f t="shared" si="26"/>
        <v>4800</v>
      </c>
      <c r="AB33" s="76">
        <f t="shared" si="27"/>
        <v>2700</v>
      </c>
      <c r="AC33" s="175">
        <f t="shared" si="28"/>
        <v>0.5625</v>
      </c>
      <c r="AD33" s="163"/>
      <c r="AE33" s="84"/>
    </row>
    <row r="34" spans="1:31" ht="15.75" x14ac:dyDescent="0.25">
      <c r="A34" s="145" t="s">
        <v>39</v>
      </c>
      <c r="B34" s="181">
        <v>3500</v>
      </c>
      <c r="C34" s="76">
        <v>0</v>
      </c>
      <c r="D34" s="76">
        <f t="shared" si="15"/>
        <v>3500</v>
      </c>
      <c r="E34" s="175">
        <f t="shared" si="16"/>
        <v>1</v>
      </c>
      <c r="F34" s="205"/>
      <c r="G34" s="213">
        <v>3500</v>
      </c>
      <c r="H34" s="130">
        <v>0</v>
      </c>
      <c r="I34" s="130">
        <f t="shared" si="17"/>
        <v>3500</v>
      </c>
      <c r="J34" s="220">
        <f t="shared" si="18"/>
        <v>1</v>
      </c>
      <c r="K34" s="205"/>
      <c r="L34" s="181">
        <v>0</v>
      </c>
      <c r="M34" s="76">
        <v>0</v>
      </c>
      <c r="N34" s="76">
        <f t="shared" si="19"/>
        <v>0</v>
      </c>
      <c r="O34" s="175" t="str">
        <f t="shared" si="20"/>
        <v>-</v>
      </c>
      <c r="P34" s="205"/>
      <c r="Q34" s="213">
        <v>0</v>
      </c>
      <c r="R34" s="130">
        <v>0</v>
      </c>
      <c r="S34" s="130">
        <f t="shared" si="21"/>
        <v>0</v>
      </c>
      <c r="T34" s="220" t="str">
        <f t="shared" si="22"/>
        <v>-</v>
      </c>
      <c r="U34" s="205"/>
      <c r="V34" s="181">
        <f t="shared" si="23"/>
        <v>7000</v>
      </c>
      <c r="W34" s="76">
        <f t="shared" si="23"/>
        <v>0</v>
      </c>
      <c r="X34" s="76">
        <f t="shared" si="24"/>
        <v>7000</v>
      </c>
      <c r="Y34" s="175">
        <f t="shared" si="25"/>
        <v>1</v>
      </c>
      <c r="Z34" s="205"/>
      <c r="AA34" s="181">
        <f t="shared" si="26"/>
        <v>14000</v>
      </c>
      <c r="AB34" s="76">
        <f>AA34-W34</f>
        <v>14000</v>
      </c>
      <c r="AC34" s="175">
        <f t="shared" si="28"/>
        <v>1</v>
      </c>
      <c r="AD34" s="163"/>
      <c r="AE34" s="85"/>
    </row>
    <row r="35" spans="1:31" ht="15.75" x14ac:dyDescent="0.25">
      <c r="A35" s="145" t="s">
        <v>40</v>
      </c>
      <c r="B35" s="181">
        <v>4312</v>
      </c>
      <c r="C35" s="76">
        <v>4425</v>
      </c>
      <c r="D35" s="76">
        <f t="shared" si="15"/>
        <v>-113</v>
      </c>
      <c r="E35" s="175">
        <f t="shared" si="16"/>
        <v>-2.6205936920222633E-2</v>
      </c>
      <c r="F35" s="207"/>
      <c r="G35" s="213">
        <v>4312</v>
      </c>
      <c r="H35" s="130">
        <v>4425</v>
      </c>
      <c r="I35" s="130">
        <f t="shared" si="17"/>
        <v>-113</v>
      </c>
      <c r="J35" s="220">
        <f t="shared" si="18"/>
        <v>-2.6205936920222633E-2</v>
      </c>
      <c r="K35" s="207"/>
      <c r="L35" s="181">
        <v>0</v>
      </c>
      <c r="M35" s="76">
        <v>0</v>
      </c>
      <c r="N35" s="76">
        <f t="shared" si="19"/>
        <v>0</v>
      </c>
      <c r="O35" s="176" t="str">
        <f t="shared" si="20"/>
        <v>-</v>
      </c>
      <c r="P35" s="207"/>
      <c r="Q35" s="213">
        <v>0</v>
      </c>
      <c r="R35" s="130">
        <v>0</v>
      </c>
      <c r="S35" s="130">
        <f t="shared" si="21"/>
        <v>0</v>
      </c>
      <c r="T35" s="214" t="str">
        <f t="shared" si="22"/>
        <v>-</v>
      </c>
      <c r="U35" s="207"/>
      <c r="V35" s="181">
        <f t="shared" si="23"/>
        <v>8624</v>
      </c>
      <c r="W35" s="76">
        <f t="shared" si="23"/>
        <v>8850</v>
      </c>
      <c r="X35" s="76">
        <f t="shared" si="24"/>
        <v>-226</v>
      </c>
      <c r="Y35" s="175">
        <f t="shared" si="25"/>
        <v>-2.6205936920222633E-2</v>
      </c>
      <c r="Z35" s="207"/>
      <c r="AA35" s="181">
        <f t="shared" si="26"/>
        <v>17248</v>
      </c>
      <c r="AB35" s="76">
        <f t="shared" si="27"/>
        <v>8398</v>
      </c>
      <c r="AC35" s="175">
        <f t="shared" si="28"/>
        <v>0.48689703153988867</v>
      </c>
      <c r="AD35" s="165"/>
      <c r="AE35" s="77"/>
    </row>
    <row r="36" spans="1:31" ht="15.75" x14ac:dyDescent="0.25">
      <c r="A36" s="145" t="s">
        <v>41</v>
      </c>
      <c r="B36" s="181">
        <v>750</v>
      </c>
      <c r="C36" s="76">
        <v>701.1</v>
      </c>
      <c r="D36" s="76">
        <f t="shared" si="15"/>
        <v>48.899999999999977</v>
      </c>
      <c r="E36" s="175">
        <f t="shared" si="16"/>
        <v>6.5199999999999966E-2</v>
      </c>
      <c r="F36" s="207"/>
      <c r="G36" s="213">
        <v>750</v>
      </c>
      <c r="H36" s="130">
        <v>805.32</v>
      </c>
      <c r="I36" s="130">
        <f t="shared" si="17"/>
        <v>-55.32000000000005</v>
      </c>
      <c r="J36" s="220">
        <f t="shared" si="18"/>
        <v>-7.3760000000000062E-2</v>
      </c>
      <c r="K36" s="207"/>
      <c r="L36" s="181">
        <v>0</v>
      </c>
      <c r="M36" s="76">
        <v>0</v>
      </c>
      <c r="N36" s="76">
        <f t="shared" si="19"/>
        <v>0</v>
      </c>
      <c r="O36" s="176" t="str">
        <f t="shared" si="20"/>
        <v>-</v>
      </c>
      <c r="P36" s="207"/>
      <c r="Q36" s="213">
        <v>0</v>
      </c>
      <c r="R36" s="130">
        <v>0</v>
      </c>
      <c r="S36" s="130">
        <f t="shared" si="21"/>
        <v>0</v>
      </c>
      <c r="T36" s="214" t="str">
        <f t="shared" si="22"/>
        <v>-</v>
      </c>
      <c r="U36" s="207"/>
      <c r="V36" s="181">
        <f t="shared" si="23"/>
        <v>1500</v>
      </c>
      <c r="W36" s="76">
        <f t="shared" si="23"/>
        <v>1506.42</v>
      </c>
      <c r="X36" s="76">
        <f t="shared" si="24"/>
        <v>-6.4200000000000728</v>
      </c>
      <c r="Y36" s="175">
        <f t="shared" si="25"/>
        <v>-4.2800000000000485E-3</v>
      </c>
      <c r="Z36" s="207"/>
      <c r="AA36" s="181">
        <f t="shared" si="26"/>
        <v>3000</v>
      </c>
      <c r="AB36" s="76">
        <f t="shared" si="27"/>
        <v>1493.58</v>
      </c>
      <c r="AC36" s="175">
        <f t="shared" si="28"/>
        <v>0.49785999999999997</v>
      </c>
      <c r="AD36" s="165"/>
      <c r="AE36" s="77"/>
    </row>
    <row r="37" spans="1:31" ht="15.75" x14ac:dyDescent="0.25">
      <c r="A37" s="145" t="s">
        <v>42</v>
      </c>
      <c r="B37" s="181">
        <v>0</v>
      </c>
      <c r="C37" s="76">
        <v>0</v>
      </c>
      <c r="D37" s="76">
        <f t="shared" si="15"/>
        <v>0</v>
      </c>
      <c r="E37" s="175" t="str">
        <f t="shared" si="16"/>
        <v>-</v>
      </c>
      <c r="F37" s="205"/>
      <c r="G37" s="213">
        <v>0</v>
      </c>
      <c r="H37" s="130">
        <v>0</v>
      </c>
      <c r="I37" s="130">
        <f t="shared" si="17"/>
        <v>0</v>
      </c>
      <c r="J37" s="220" t="str">
        <f t="shared" si="18"/>
        <v>-</v>
      </c>
      <c r="K37" s="205"/>
      <c r="L37" s="181">
        <v>0</v>
      </c>
      <c r="M37" s="76">
        <v>0</v>
      </c>
      <c r="N37" s="76">
        <f t="shared" si="19"/>
        <v>0</v>
      </c>
      <c r="O37" s="175" t="str">
        <f t="shared" si="20"/>
        <v>-</v>
      </c>
      <c r="P37" s="205"/>
      <c r="Q37" s="213">
        <v>0</v>
      </c>
      <c r="R37" s="130">
        <v>0</v>
      </c>
      <c r="S37" s="130">
        <f t="shared" si="21"/>
        <v>0</v>
      </c>
      <c r="T37" s="220" t="str">
        <f t="shared" si="22"/>
        <v>-</v>
      </c>
      <c r="U37" s="205"/>
      <c r="V37" s="181">
        <f t="shared" si="23"/>
        <v>0</v>
      </c>
      <c r="W37" s="76">
        <f t="shared" si="23"/>
        <v>0</v>
      </c>
      <c r="X37" s="76">
        <f t="shared" si="24"/>
        <v>0</v>
      </c>
      <c r="Y37" s="175" t="str">
        <f t="shared" si="25"/>
        <v>-</v>
      </c>
      <c r="Z37" s="205"/>
      <c r="AA37" s="181">
        <f t="shared" si="26"/>
        <v>0</v>
      </c>
      <c r="AB37" s="76">
        <f t="shared" si="27"/>
        <v>0</v>
      </c>
      <c r="AC37" s="175" t="str">
        <f t="shared" si="28"/>
        <v>-</v>
      </c>
      <c r="AD37" s="163"/>
      <c r="AE37" s="83"/>
    </row>
    <row r="38" spans="1:31" ht="15.75" x14ac:dyDescent="0.25">
      <c r="A38" s="145" t="s">
        <v>43</v>
      </c>
      <c r="B38" s="181">
        <v>4500</v>
      </c>
      <c r="C38" s="76">
        <v>0</v>
      </c>
      <c r="D38" s="76">
        <f t="shared" si="15"/>
        <v>4500</v>
      </c>
      <c r="E38" s="175">
        <f t="shared" si="16"/>
        <v>1</v>
      </c>
      <c r="F38" s="205"/>
      <c r="G38" s="213">
        <v>4500</v>
      </c>
      <c r="H38" s="130">
        <v>0</v>
      </c>
      <c r="I38" s="130">
        <f t="shared" si="17"/>
        <v>4500</v>
      </c>
      <c r="J38" s="220">
        <f t="shared" si="18"/>
        <v>1</v>
      </c>
      <c r="K38" s="205"/>
      <c r="L38" s="181">
        <v>0</v>
      </c>
      <c r="M38" s="76">
        <v>0</v>
      </c>
      <c r="N38" s="76">
        <f t="shared" si="19"/>
        <v>0</v>
      </c>
      <c r="O38" s="175" t="str">
        <f t="shared" si="20"/>
        <v>-</v>
      </c>
      <c r="P38" s="205"/>
      <c r="Q38" s="213">
        <v>0</v>
      </c>
      <c r="R38" s="130">
        <v>0</v>
      </c>
      <c r="S38" s="130">
        <f t="shared" si="21"/>
        <v>0</v>
      </c>
      <c r="T38" s="220" t="str">
        <f t="shared" si="22"/>
        <v>-</v>
      </c>
      <c r="U38" s="205"/>
      <c r="V38" s="181">
        <f t="shared" si="23"/>
        <v>9000</v>
      </c>
      <c r="W38" s="76">
        <f t="shared" si="23"/>
        <v>0</v>
      </c>
      <c r="X38" s="76">
        <f t="shared" si="24"/>
        <v>9000</v>
      </c>
      <c r="Y38" s="175">
        <f t="shared" si="25"/>
        <v>1</v>
      </c>
      <c r="Z38" s="205"/>
      <c r="AA38" s="181">
        <f t="shared" si="26"/>
        <v>18000</v>
      </c>
      <c r="AB38" s="76">
        <f>AA38-W38</f>
        <v>18000</v>
      </c>
      <c r="AC38" s="175">
        <f t="shared" si="28"/>
        <v>1</v>
      </c>
      <c r="AD38" s="163"/>
      <c r="AE38" s="84"/>
    </row>
    <row r="39" spans="1:31" ht="15.75" x14ac:dyDescent="0.25">
      <c r="A39" s="152" t="s">
        <v>44</v>
      </c>
      <c r="B39" s="187">
        <v>0</v>
      </c>
      <c r="C39" s="79">
        <v>0</v>
      </c>
      <c r="D39" s="79">
        <f t="shared" si="15"/>
        <v>0</v>
      </c>
      <c r="E39" s="175" t="str">
        <f t="shared" si="16"/>
        <v>-</v>
      </c>
      <c r="F39" s="204"/>
      <c r="G39" s="221">
        <v>0</v>
      </c>
      <c r="H39" s="133">
        <v>0</v>
      </c>
      <c r="I39" s="133">
        <f t="shared" si="17"/>
        <v>0</v>
      </c>
      <c r="J39" s="220" t="str">
        <f t="shared" si="18"/>
        <v>-</v>
      </c>
      <c r="K39" s="204"/>
      <c r="L39" s="187">
        <v>0</v>
      </c>
      <c r="M39" s="79">
        <v>0</v>
      </c>
      <c r="N39" s="79">
        <f t="shared" si="19"/>
        <v>0</v>
      </c>
      <c r="O39" s="188" t="str">
        <f t="shared" si="20"/>
        <v>-</v>
      </c>
      <c r="P39" s="204"/>
      <c r="Q39" s="221">
        <v>0</v>
      </c>
      <c r="R39" s="133">
        <v>0</v>
      </c>
      <c r="S39" s="133">
        <f t="shared" si="21"/>
        <v>0</v>
      </c>
      <c r="T39" s="222" t="str">
        <f t="shared" si="22"/>
        <v>-</v>
      </c>
      <c r="U39" s="204"/>
      <c r="V39" s="187">
        <f t="shared" si="23"/>
        <v>0</v>
      </c>
      <c r="W39" s="79">
        <f t="shared" si="23"/>
        <v>0</v>
      </c>
      <c r="X39" s="79">
        <f t="shared" si="24"/>
        <v>0</v>
      </c>
      <c r="Y39" s="175" t="str">
        <f t="shared" si="25"/>
        <v>-</v>
      </c>
      <c r="Z39" s="204"/>
      <c r="AA39" s="181">
        <f t="shared" si="26"/>
        <v>0</v>
      </c>
      <c r="AB39" s="79">
        <f t="shared" si="27"/>
        <v>0</v>
      </c>
      <c r="AC39" s="175" t="str">
        <f t="shared" si="28"/>
        <v>-</v>
      </c>
      <c r="AD39" s="162"/>
      <c r="AE39" s="84"/>
    </row>
    <row r="40" spans="1:31" ht="15.75" x14ac:dyDescent="0.25">
      <c r="A40" s="146" t="s">
        <v>45</v>
      </c>
      <c r="B40" s="177">
        <f>SUM(B32:B39)</f>
        <v>130424.5</v>
      </c>
      <c r="C40" s="110">
        <f>SUM(C32:C39)</f>
        <v>121460.10000000002</v>
      </c>
      <c r="D40" s="110">
        <f>SUM(D32:D39)</f>
        <v>8964.3999999999851</v>
      </c>
      <c r="E40" s="178">
        <f t="shared" si="16"/>
        <v>6.8732485077573499E-2</v>
      </c>
      <c r="F40" s="205"/>
      <c r="G40" s="177">
        <f>SUM(G32:G39)</f>
        <v>130424.5</v>
      </c>
      <c r="H40" s="110">
        <f>SUM(H32:H39)</f>
        <v>121564.32</v>
      </c>
      <c r="I40" s="110">
        <f>SUM(I32:I39)</f>
        <v>8860.18</v>
      </c>
      <c r="J40" s="178">
        <f t="shared" si="18"/>
        <v>6.7933402083197564E-2</v>
      </c>
      <c r="K40" s="205"/>
      <c r="L40" s="177">
        <f>SUM(L32:L39)</f>
        <v>0</v>
      </c>
      <c r="M40" s="110">
        <f>SUM(M32:M39)</f>
        <v>0</v>
      </c>
      <c r="N40" s="110">
        <f>SUM(N32:N39)</f>
        <v>0</v>
      </c>
      <c r="O40" s="178" t="str">
        <f t="shared" si="20"/>
        <v>-</v>
      </c>
      <c r="P40" s="205"/>
      <c r="Q40" s="177">
        <f>SUM(Q32:Q39)</f>
        <v>0</v>
      </c>
      <c r="R40" s="110">
        <f>SUM(R32:R39)</f>
        <v>0</v>
      </c>
      <c r="S40" s="110">
        <f>SUM(S32:S39)</f>
        <v>0</v>
      </c>
      <c r="T40" s="178" t="str">
        <f t="shared" si="22"/>
        <v>-</v>
      </c>
      <c r="U40" s="205"/>
      <c r="V40" s="177">
        <f>SUM(V32:V39)</f>
        <v>260849</v>
      </c>
      <c r="W40" s="110">
        <f>SUM(W32:W39)</f>
        <v>243024.42</v>
      </c>
      <c r="X40" s="110">
        <f>SUM(X32:X39)</f>
        <v>17824.580000000002</v>
      </c>
      <c r="Y40" s="178">
        <f t="shared" si="25"/>
        <v>6.8332943580385594E-2</v>
      </c>
      <c r="Z40" s="205"/>
      <c r="AA40" s="242">
        <f>SUM(AA32:AA39)</f>
        <v>521698</v>
      </c>
      <c r="AB40" s="109">
        <f>SUM(AB32:AB39)</f>
        <v>278673.57999999996</v>
      </c>
      <c r="AC40" s="243">
        <f t="shared" si="28"/>
        <v>0.53416647179019272</v>
      </c>
      <c r="AD40" s="163"/>
      <c r="AE40" s="86"/>
    </row>
    <row r="41" spans="1:31" x14ac:dyDescent="0.25">
      <c r="A41" s="150"/>
      <c r="B41" s="179"/>
      <c r="C41" s="81"/>
      <c r="D41" s="81"/>
      <c r="E41" s="180"/>
      <c r="F41" s="204"/>
      <c r="G41" s="211"/>
      <c r="H41" s="129"/>
      <c r="I41" s="129"/>
      <c r="J41" s="223"/>
      <c r="K41" s="204"/>
      <c r="L41" s="179"/>
      <c r="M41" s="81"/>
      <c r="N41" s="81"/>
      <c r="O41" s="180"/>
      <c r="P41" s="204"/>
      <c r="Q41" s="211"/>
      <c r="R41" s="129"/>
      <c r="S41" s="129"/>
      <c r="T41" s="223"/>
      <c r="U41" s="204"/>
      <c r="V41" s="179"/>
      <c r="W41" s="81"/>
      <c r="X41" s="81"/>
      <c r="Y41" s="239"/>
      <c r="Z41" s="204"/>
      <c r="AA41" s="179"/>
      <c r="AB41" s="81"/>
      <c r="AC41" s="239"/>
      <c r="AD41" s="162"/>
      <c r="AE41" s="77"/>
    </row>
    <row r="42" spans="1:31" ht="15.75" x14ac:dyDescent="0.25">
      <c r="A42" s="148" t="s">
        <v>46</v>
      </c>
      <c r="B42" s="189"/>
      <c r="C42" s="87"/>
      <c r="D42" s="87"/>
      <c r="E42" s="190"/>
      <c r="F42" s="203"/>
      <c r="G42" s="224"/>
      <c r="H42" s="134"/>
      <c r="I42" s="134"/>
      <c r="J42" s="225"/>
      <c r="K42" s="203"/>
      <c r="L42" s="189"/>
      <c r="M42" s="87"/>
      <c r="N42" s="87"/>
      <c r="O42" s="190"/>
      <c r="P42" s="203"/>
      <c r="Q42" s="224"/>
      <c r="R42" s="134"/>
      <c r="S42" s="134"/>
      <c r="T42" s="225"/>
      <c r="U42" s="203"/>
      <c r="V42" s="189"/>
      <c r="W42" s="87"/>
      <c r="X42" s="76"/>
      <c r="Y42" s="240"/>
      <c r="Z42" s="203"/>
      <c r="AA42" s="189"/>
      <c r="AB42" s="76"/>
      <c r="AC42" s="240"/>
      <c r="AD42" s="161"/>
      <c r="AE42" s="77"/>
    </row>
    <row r="43" spans="1:31" ht="15.75" x14ac:dyDescent="0.25">
      <c r="A43" s="145" t="s">
        <v>47</v>
      </c>
      <c r="B43" s="181">
        <v>0</v>
      </c>
      <c r="C43" s="76">
        <v>0</v>
      </c>
      <c r="D43" s="76">
        <f t="shared" ref="D43:D49" si="29">B43-C43</f>
        <v>0</v>
      </c>
      <c r="E43" s="175" t="str">
        <f t="shared" ref="E43:E73" si="30">IF(ISERROR(D43/B43),"-",D43/B43)</f>
        <v>-</v>
      </c>
      <c r="F43" s="205"/>
      <c r="G43" s="213">
        <v>0</v>
      </c>
      <c r="H43" s="130">
        <v>0</v>
      </c>
      <c r="I43" s="130">
        <f t="shared" ref="I43:I49" si="31">G43-H43</f>
        <v>0</v>
      </c>
      <c r="J43" s="220" t="str">
        <f t="shared" ref="J43:J73" si="32">IF(ISERROR(I43/G43),"-",I43/G43)</f>
        <v>-</v>
      </c>
      <c r="K43" s="205"/>
      <c r="L43" s="181">
        <v>0</v>
      </c>
      <c r="M43" s="76">
        <v>0</v>
      </c>
      <c r="N43" s="76">
        <f t="shared" ref="N43:N49" si="33">L43-M43</f>
        <v>0</v>
      </c>
      <c r="O43" s="175" t="str">
        <f t="shared" ref="O43:O49" si="34">IF(ISERROR(N43/L43),"-",N43/L43)</f>
        <v>-</v>
      </c>
      <c r="P43" s="205"/>
      <c r="Q43" s="213">
        <v>0</v>
      </c>
      <c r="R43" s="130">
        <v>0</v>
      </c>
      <c r="S43" s="130">
        <f t="shared" ref="S43:S49" si="35">Q43-R43</f>
        <v>0</v>
      </c>
      <c r="T43" s="220" t="str">
        <f t="shared" ref="T43:T49" si="36">IF(ISERROR(S43/Q43),"-",S43/Q43)</f>
        <v>-</v>
      </c>
      <c r="U43" s="205"/>
      <c r="V43" s="181">
        <f t="shared" ref="V43:W49" si="37">B43+G43+L43+Q43</f>
        <v>0</v>
      </c>
      <c r="W43" s="76">
        <f t="shared" si="37"/>
        <v>0</v>
      </c>
      <c r="X43" s="76">
        <f t="shared" ref="X43:X49" si="38">V43-W43</f>
        <v>0</v>
      </c>
      <c r="Y43" s="175" t="str">
        <f t="shared" ref="Y43:Y74" si="39">IF(ISERROR(X43/V43),"-",X43/V43)</f>
        <v>-</v>
      </c>
      <c r="Z43" s="205"/>
      <c r="AA43" s="181">
        <f t="shared" ref="AA43:AA73" si="40">B43*4</f>
        <v>0</v>
      </c>
      <c r="AB43" s="76">
        <f t="shared" ref="AB43:AB49" si="41">AA43-W43</f>
        <v>0</v>
      </c>
      <c r="AC43" s="175" t="str">
        <f t="shared" ref="AC43:AC74" si="42">IF(ISERROR(AB43/AA43),"-",AB43/AA43)</f>
        <v>-</v>
      </c>
      <c r="AD43" s="163"/>
      <c r="AE43" s="88"/>
    </row>
    <row r="44" spans="1:31" ht="15.75" x14ac:dyDescent="0.25">
      <c r="A44" s="145" t="s">
        <v>48</v>
      </c>
      <c r="B44" s="181">
        <v>47500</v>
      </c>
      <c r="C44" s="76">
        <v>0</v>
      </c>
      <c r="D44" s="76">
        <f t="shared" si="29"/>
        <v>47500</v>
      </c>
      <c r="E44" s="175">
        <f t="shared" si="30"/>
        <v>1</v>
      </c>
      <c r="F44" s="207"/>
      <c r="G44" s="213">
        <v>47500</v>
      </c>
      <c r="H44" s="130">
        <v>0</v>
      </c>
      <c r="I44" s="130">
        <f t="shared" si="31"/>
        <v>47500</v>
      </c>
      <c r="J44" s="220">
        <f t="shared" si="32"/>
        <v>1</v>
      </c>
      <c r="K44" s="207"/>
      <c r="L44" s="181">
        <v>0</v>
      </c>
      <c r="M44" s="76">
        <v>0</v>
      </c>
      <c r="N44" s="76">
        <f t="shared" si="33"/>
        <v>0</v>
      </c>
      <c r="O44" s="175" t="str">
        <f t="shared" si="34"/>
        <v>-</v>
      </c>
      <c r="P44" s="207"/>
      <c r="Q44" s="213">
        <v>0</v>
      </c>
      <c r="R44" s="130">
        <v>0</v>
      </c>
      <c r="S44" s="130">
        <f t="shared" si="35"/>
        <v>0</v>
      </c>
      <c r="T44" s="220" t="str">
        <f t="shared" si="36"/>
        <v>-</v>
      </c>
      <c r="U44" s="207"/>
      <c r="V44" s="181">
        <f t="shared" si="37"/>
        <v>95000</v>
      </c>
      <c r="W44" s="76">
        <f t="shared" si="37"/>
        <v>0</v>
      </c>
      <c r="X44" s="76">
        <f t="shared" si="38"/>
        <v>95000</v>
      </c>
      <c r="Y44" s="175">
        <f t="shared" si="39"/>
        <v>1</v>
      </c>
      <c r="Z44" s="207"/>
      <c r="AA44" s="181">
        <f t="shared" si="40"/>
        <v>190000</v>
      </c>
      <c r="AB44" s="76">
        <f t="shared" si="41"/>
        <v>190000</v>
      </c>
      <c r="AC44" s="175">
        <f t="shared" si="42"/>
        <v>1</v>
      </c>
      <c r="AD44" s="165"/>
      <c r="AE44" s="77"/>
    </row>
    <row r="45" spans="1:31" ht="15.75" x14ac:dyDescent="0.25">
      <c r="A45" s="145" t="s">
        <v>49</v>
      </c>
      <c r="B45" s="181">
        <v>0</v>
      </c>
      <c r="C45" s="76">
        <v>0</v>
      </c>
      <c r="D45" s="76">
        <f t="shared" si="29"/>
        <v>0</v>
      </c>
      <c r="E45" s="175" t="str">
        <f t="shared" si="30"/>
        <v>-</v>
      </c>
      <c r="F45" s="207"/>
      <c r="G45" s="213">
        <v>0</v>
      </c>
      <c r="H45" s="130">
        <v>0</v>
      </c>
      <c r="I45" s="130">
        <f t="shared" si="31"/>
        <v>0</v>
      </c>
      <c r="J45" s="220" t="str">
        <f t="shared" si="32"/>
        <v>-</v>
      </c>
      <c r="K45" s="207"/>
      <c r="L45" s="181">
        <v>0</v>
      </c>
      <c r="M45" s="76">
        <v>0</v>
      </c>
      <c r="N45" s="76">
        <f t="shared" si="33"/>
        <v>0</v>
      </c>
      <c r="O45" s="176" t="str">
        <f t="shared" si="34"/>
        <v>-</v>
      </c>
      <c r="P45" s="207"/>
      <c r="Q45" s="213">
        <v>0</v>
      </c>
      <c r="R45" s="130">
        <v>0</v>
      </c>
      <c r="S45" s="130">
        <f t="shared" si="35"/>
        <v>0</v>
      </c>
      <c r="T45" s="214" t="str">
        <f t="shared" si="36"/>
        <v>-</v>
      </c>
      <c r="U45" s="207"/>
      <c r="V45" s="181">
        <f t="shared" si="37"/>
        <v>0</v>
      </c>
      <c r="W45" s="76">
        <f t="shared" si="37"/>
        <v>0</v>
      </c>
      <c r="X45" s="76">
        <f t="shared" si="38"/>
        <v>0</v>
      </c>
      <c r="Y45" s="175" t="str">
        <f t="shared" si="39"/>
        <v>-</v>
      </c>
      <c r="Z45" s="207"/>
      <c r="AA45" s="181">
        <f t="shared" si="40"/>
        <v>0</v>
      </c>
      <c r="AB45" s="76">
        <f t="shared" si="41"/>
        <v>0</v>
      </c>
      <c r="AC45" s="175" t="str">
        <f t="shared" si="42"/>
        <v>-</v>
      </c>
      <c r="AD45" s="165"/>
      <c r="AE45" s="77"/>
    </row>
    <row r="46" spans="1:31" ht="15.75" x14ac:dyDescent="0.25">
      <c r="A46" s="145" t="s">
        <v>50</v>
      </c>
      <c r="B46" s="181">
        <v>500</v>
      </c>
      <c r="C46" s="76">
        <v>459.4</v>
      </c>
      <c r="D46" s="76">
        <f t="shared" si="29"/>
        <v>40.600000000000023</v>
      </c>
      <c r="E46" s="175">
        <f t="shared" si="30"/>
        <v>8.120000000000005E-2</v>
      </c>
      <c r="F46" s="207"/>
      <c r="G46" s="213">
        <v>500</v>
      </c>
      <c r="H46" s="130">
        <v>195.5</v>
      </c>
      <c r="I46" s="130">
        <f t="shared" si="31"/>
        <v>304.5</v>
      </c>
      <c r="J46" s="220">
        <f t="shared" si="32"/>
        <v>0.60899999999999999</v>
      </c>
      <c r="K46" s="207"/>
      <c r="L46" s="181">
        <v>0</v>
      </c>
      <c r="M46" s="76">
        <v>0</v>
      </c>
      <c r="N46" s="76">
        <f t="shared" si="33"/>
        <v>0</v>
      </c>
      <c r="O46" s="175" t="str">
        <f t="shared" si="34"/>
        <v>-</v>
      </c>
      <c r="P46" s="207"/>
      <c r="Q46" s="213">
        <v>0</v>
      </c>
      <c r="R46" s="130">
        <v>0</v>
      </c>
      <c r="S46" s="130">
        <f t="shared" si="35"/>
        <v>0</v>
      </c>
      <c r="T46" s="220" t="str">
        <f t="shared" si="36"/>
        <v>-</v>
      </c>
      <c r="U46" s="207"/>
      <c r="V46" s="181">
        <f t="shared" si="37"/>
        <v>1000</v>
      </c>
      <c r="W46" s="76">
        <f t="shared" si="37"/>
        <v>654.9</v>
      </c>
      <c r="X46" s="76">
        <f t="shared" si="38"/>
        <v>345.1</v>
      </c>
      <c r="Y46" s="175">
        <f t="shared" si="39"/>
        <v>0.34510000000000002</v>
      </c>
      <c r="Z46" s="207"/>
      <c r="AA46" s="181">
        <f t="shared" si="40"/>
        <v>2000</v>
      </c>
      <c r="AB46" s="76">
        <f t="shared" si="41"/>
        <v>1345.1</v>
      </c>
      <c r="AC46" s="175">
        <f t="shared" si="42"/>
        <v>0.67254999999999998</v>
      </c>
      <c r="AD46" s="165"/>
      <c r="AE46" s="88"/>
    </row>
    <row r="47" spans="1:31" ht="15.75" x14ac:dyDescent="0.25">
      <c r="A47" s="145" t="s">
        <v>51</v>
      </c>
      <c r="B47" s="181">
        <v>0</v>
      </c>
      <c r="C47" s="76">
        <v>0</v>
      </c>
      <c r="D47" s="76">
        <f t="shared" si="29"/>
        <v>0</v>
      </c>
      <c r="E47" s="175" t="str">
        <f t="shared" si="30"/>
        <v>-</v>
      </c>
      <c r="F47" s="207"/>
      <c r="G47" s="213">
        <v>0</v>
      </c>
      <c r="H47" s="130">
        <v>0</v>
      </c>
      <c r="I47" s="130">
        <f t="shared" si="31"/>
        <v>0</v>
      </c>
      <c r="J47" s="220" t="str">
        <f t="shared" si="32"/>
        <v>-</v>
      </c>
      <c r="K47" s="207"/>
      <c r="L47" s="181">
        <v>0</v>
      </c>
      <c r="M47" s="76">
        <v>0</v>
      </c>
      <c r="N47" s="76">
        <f t="shared" si="33"/>
        <v>0</v>
      </c>
      <c r="O47" s="176" t="str">
        <f t="shared" si="34"/>
        <v>-</v>
      </c>
      <c r="P47" s="207"/>
      <c r="Q47" s="213">
        <v>0</v>
      </c>
      <c r="R47" s="130">
        <v>0</v>
      </c>
      <c r="S47" s="130">
        <f t="shared" si="35"/>
        <v>0</v>
      </c>
      <c r="T47" s="214" t="str">
        <f t="shared" si="36"/>
        <v>-</v>
      </c>
      <c r="U47" s="207"/>
      <c r="V47" s="181">
        <f t="shared" si="37"/>
        <v>0</v>
      </c>
      <c r="W47" s="76">
        <f t="shared" si="37"/>
        <v>0</v>
      </c>
      <c r="X47" s="76">
        <f t="shared" si="38"/>
        <v>0</v>
      </c>
      <c r="Y47" s="175" t="str">
        <f t="shared" si="39"/>
        <v>-</v>
      </c>
      <c r="Z47" s="207"/>
      <c r="AA47" s="181">
        <f t="shared" si="40"/>
        <v>0</v>
      </c>
      <c r="AB47" s="76">
        <f t="shared" si="41"/>
        <v>0</v>
      </c>
      <c r="AC47" s="175" t="str">
        <f t="shared" si="42"/>
        <v>-</v>
      </c>
      <c r="AD47" s="165"/>
      <c r="AE47" s="77"/>
    </row>
    <row r="48" spans="1:31" ht="15.75" x14ac:dyDescent="0.25">
      <c r="A48" s="145" t="s">
        <v>52</v>
      </c>
      <c r="B48" s="181">
        <v>0</v>
      </c>
      <c r="C48" s="76">
        <v>0</v>
      </c>
      <c r="D48" s="76">
        <f t="shared" si="29"/>
        <v>0</v>
      </c>
      <c r="E48" s="175" t="str">
        <f t="shared" si="30"/>
        <v>-</v>
      </c>
      <c r="F48" s="205"/>
      <c r="G48" s="213">
        <v>0</v>
      </c>
      <c r="H48" s="130">
        <v>0</v>
      </c>
      <c r="I48" s="130">
        <f t="shared" si="31"/>
        <v>0</v>
      </c>
      <c r="J48" s="220" t="str">
        <f t="shared" si="32"/>
        <v>-</v>
      </c>
      <c r="K48" s="205"/>
      <c r="L48" s="181">
        <v>0</v>
      </c>
      <c r="M48" s="76">
        <v>0</v>
      </c>
      <c r="N48" s="76">
        <f t="shared" si="33"/>
        <v>0</v>
      </c>
      <c r="O48" s="175" t="str">
        <f t="shared" si="34"/>
        <v>-</v>
      </c>
      <c r="P48" s="205"/>
      <c r="Q48" s="213">
        <v>0</v>
      </c>
      <c r="R48" s="130">
        <v>0</v>
      </c>
      <c r="S48" s="130">
        <f t="shared" si="35"/>
        <v>0</v>
      </c>
      <c r="T48" s="220" t="str">
        <f t="shared" si="36"/>
        <v>-</v>
      </c>
      <c r="U48" s="205"/>
      <c r="V48" s="181">
        <f t="shared" si="37"/>
        <v>0</v>
      </c>
      <c r="W48" s="76">
        <f t="shared" si="37"/>
        <v>0</v>
      </c>
      <c r="X48" s="76">
        <f t="shared" si="38"/>
        <v>0</v>
      </c>
      <c r="Y48" s="175" t="str">
        <f t="shared" si="39"/>
        <v>-</v>
      </c>
      <c r="Z48" s="205"/>
      <c r="AA48" s="181">
        <f t="shared" si="40"/>
        <v>0</v>
      </c>
      <c r="AB48" s="76">
        <f t="shared" si="41"/>
        <v>0</v>
      </c>
      <c r="AC48" s="175" t="str">
        <f t="shared" si="42"/>
        <v>-</v>
      </c>
      <c r="AD48" s="163"/>
      <c r="AE48" s="89"/>
    </row>
    <row r="49" spans="1:31" ht="15.75" x14ac:dyDescent="0.25">
      <c r="A49" s="145" t="s">
        <v>53</v>
      </c>
      <c r="B49" s="181">
        <v>3750</v>
      </c>
      <c r="C49" s="76">
        <v>0</v>
      </c>
      <c r="D49" s="76">
        <f t="shared" si="29"/>
        <v>3750</v>
      </c>
      <c r="E49" s="175">
        <f t="shared" si="30"/>
        <v>1</v>
      </c>
      <c r="F49" s="205"/>
      <c r="G49" s="213">
        <v>3750</v>
      </c>
      <c r="H49" s="130">
        <v>0</v>
      </c>
      <c r="I49" s="130">
        <f t="shared" si="31"/>
        <v>3750</v>
      </c>
      <c r="J49" s="220">
        <f t="shared" si="32"/>
        <v>1</v>
      </c>
      <c r="K49" s="205"/>
      <c r="L49" s="181">
        <v>0</v>
      </c>
      <c r="M49" s="76">
        <v>0</v>
      </c>
      <c r="N49" s="76">
        <f t="shared" si="33"/>
        <v>0</v>
      </c>
      <c r="O49" s="175" t="str">
        <f t="shared" si="34"/>
        <v>-</v>
      </c>
      <c r="P49" s="205"/>
      <c r="Q49" s="213">
        <v>0</v>
      </c>
      <c r="R49" s="130">
        <v>0</v>
      </c>
      <c r="S49" s="130">
        <f t="shared" si="35"/>
        <v>0</v>
      </c>
      <c r="T49" s="220" t="str">
        <f t="shared" si="36"/>
        <v>-</v>
      </c>
      <c r="U49" s="205"/>
      <c r="V49" s="181">
        <f t="shared" si="37"/>
        <v>7500</v>
      </c>
      <c r="W49" s="76">
        <f t="shared" si="37"/>
        <v>0</v>
      </c>
      <c r="X49" s="76">
        <f t="shared" si="38"/>
        <v>7500</v>
      </c>
      <c r="Y49" s="175">
        <f t="shared" si="39"/>
        <v>1</v>
      </c>
      <c r="Z49" s="205"/>
      <c r="AA49" s="181">
        <f t="shared" si="40"/>
        <v>15000</v>
      </c>
      <c r="AB49" s="76">
        <f t="shared" si="41"/>
        <v>15000</v>
      </c>
      <c r="AC49" s="175">
        <f t="shared" si="42"/>
        <v>1</v>
      </c>
      <c r="AD49" s="163"/>
      <c r="AE49" s="90"/>
    </row>
    <row r="50" spans="1:31" ht="15.75" x14ac:dyDescent="0.25">
      <c r="A50" s="145" t="s">
        <v>54</v>
      </c>
      <c r="B50" s="181"/>
      <c r="C50" s="76"/>
      <c r="D50" s="76"/>
      <c r="E50" s="175" t="str">
        <f t="shared" si="30"/>
        <v>-</v>
      </c>
      <c r="F50" s="205"/>
      <c r="G50" s="213"/>
      <c r="H50" s="130"/>
      <c r="I50" s="130"/>
      <c r="J50" s="220" t="str">
        <f t="shared" si="32"/>
        <v>-</v>
      </c>
      <c r="K50" s="205"/>
      <c r="L50" s="181"/>
      <c r="M50" s="76"/>
      <c r="N50" s="76"/>
      <c r="O50" s="175"/>
      <c r="P50" s="205"/>
      <c r="Q50" s="213"/>
      <c r="R50" s="130"/>
      <c r="S50" s="130"/>
      <c r="T50" s="220"/>
      <c r="U50" s="205"/>
      <c r="V50" s="181"/>
      <c r="W50" s="76"/>
      <c r="X50" s="76"/>
      <c r="Y50" s="175" t="str">
        <f t="shared" si="39"/>
        <v>-</v>
      </c>
      <c r="Z50" s="205"/>
      <c r="AA50" s="181">
        <f t="shared" si="40"/>
        <v>0</v>
      </c>
      <c r="AB50" s="76"/>
      <c r="AC50" s="175" t="str">
        <f t="shared" si="42"/>
        <v>-</v>
      </c>
      <c r="AD50" s="163"/>
      <c r="AE50" s="88"/>
    </row>
    <row r="51" spans="1:31" ht="15.75" x14ac:dyDescent="0.25">
      <c r="A51" s="145" t="s">
        <v>55</v>
      </c>
      <c r="B51" s="181">
        <v>0</v>
      </c>
      <c r="C51" s="76">
        <v>0</v>
      </c>
      <c r="D51" s="76">
        <f t="shared" ref="D51:D74" si="43">B51-C51</f>
        <v>0</v>
      </c>
      <c r="E51" s="175" t="str">
        <f t="shared" si="30"/>
        <v>-</v>
      </c>
      <c r="F51" s="207"/>
      <c r="G51" s="213">
        <v>0</v>
      </c>
      <c r="H51" s="130">
        <v>0</v>
      </c>
      <c r="I51" s="130">
        <f t="shared" ref="I51:I74" si="44">G51-H51</f>
        <v>0</v>
      </c>
      <c r="J51" s="220" t="str">
        <f t="shared" si="32"/>
        <v>-</v>
      </c>
      <c r="K51" s="207"/>
      <c r="L51" s="181">
        <v>0</v>
      </c>
      <c r="M51" s="76">
        <v>0</v>
      </c>
      <c r="N51" s="76">
        <f t="shared" ref="N51:N73" si="45">L51-M51</f>
        <v>0</v>
      </c>
      <c r="O51" s="175" t="str">
        <f t="shared" ref="O51:O70" si="46">IF(ISERROR(N51/L51),"-",N51/L51)</f>
        <v>-</v>
      </c>
      <c r="P51" s="207"/>
      <c r="Q51" s="213">
        <v>0</v>
      </c>
      <c r="R51" s="130">
        <v>0</v>
      </c>
      <c r="S51" s="130">
        <f t="shared" ref="S51:S73" si="47">Q51-R51</f>
        <v>0</v>
      </c>
      <c r="T51" s="220" t="str">
        <f t="shared" ref="T51:T70" si="48">IF(ISERROR(S51/Q51),"-",S51/Q51)</f>
        <v>-</v>
      </c>
      <c r="U51" s="207"/>
      <c r="V51" s="181">
        <f t="shared" ref="V51:V74" si="49">B51+G51+L51+Q51</f>
        <v>0</v>
      </c>
      <c r="W51" s="76">
        <f t="shared" ref="W51:W74" si="50">C51+H51+M51+R51</f>
        <v>0</v>
      </c>
      <c r="X51" s="76">
        <f t="shared" ref="X51:X74" si="51">V51-W51</f>
        <v>0</v>
      </c>
      <c r="Y51" s="175" t="str">
        <f t="shared" si="39"/>
        <v>-</v>
      </c>
      <c r="Z51" s="207"/>
      <c r="AA51" s="181">
        <f t="shared" si="40"/>
        <v>0</v>
      </c>
      <c r="AB51" s="76">
        <f>AA51-W51</f>
        <v>0</v>
      </c>
      <c r="AC51" s="175" t="str">
        <f t="shared" si="42"/>
        <v>-</v>
      </c>
      <c r="AD51" s="165"/>
      <c r="AE51" s="77"/>
    </row>
    <row r="52" spans="1:31" ht="15.75" x14ac:dyDescent="0.25">
      <c r="A52" s="145" t="s">
        <v>56</v>
      </c>
      <c r="B52" s="181">
        <v>14220</v>
      </c>
      <c r="C52" s="76">
        <v>13648.76</v>
      </c>
      <c r="D52" s="76">
        <f t="shared" si="43"/>
        <v>571.23999999999978</v>
      </c>
      <c r="E52" s="175">
        <f t="shared" si="30"/>
        <v>4.01715893108298E-2</v>
      </c>
      <c r="F52" s="207"/>
      <c r="G52" s="213">
        <v>14220</v>
      </c>
      <c r="H52" s="130">
        <v>13200</v>
      </c>
      <c r="I52" s="130">
        <f t="shared" si="44"/>
        <v>1020</v>
      </c>
      <c r="J52" s="220">
        <f t="shared" si="32"/>
        <v>7.1729957805907171E-2</v>
      </c>
      <c r="K52" s="207"/>
      <c r="L52" s="181">
        <v>0</v>
      </c>
      <c r="M52" s="76">
        <v>0</v>
      </c>
      <c r="N52" s="76">
        <f t="shared" si="45"/>
        <v>0</v>
      </c>
      <c r="O52" s="175" t="str">
        <f t="shared" si="46"/>
        <v>-</v>
      </c>
      <c r="P52" s="207"/>
      <c r="Q52" s="213">
        <v>0</v>
      </c>
      <c r="R52" s="130">
        <v>0</v>
      </c>
      <c r="S52" s="130">
        <f t="shared" si="47"/>
        <v>0</v>
      </c>
      <c r="T52" s="220" t="str">
        <f t="shared" si="48"/>
        <v>-</v>
      </c>
      <c r="U52" s="207"/>
      <c r="V52" s="181">
        <f t="shared" si="49"/>
        <v>28440</v>
      </c>
      <c r="W52" s="76">
        <f t="shared" si="50"/>
        <v>26848.760000000002</v>
      </c>
      <c r="X52" s="76">
        <f t="shared" si="51"/>
        <v>1591.239999999998</v>
      </c>
      <c r="Y52" s="175">
        <f t="shared" si="39"/>
        <v>5.5950773558368423E-2</v>
      </c>
      <c r="Z52" s="207"/>
      <c r="AA52" s="181">
        <f t="shared" si="40"/>
        <v>56880</v>
      </c>
      <c r="AB52" s="76">
        <f>AA52-W52</f>
        <v>30031.239999999998</v>
      </c>
      <c r="AC52" s="175">
        <f t="shared" si="42"/>
        <v>0.52797538677918421</v>
      </c>
      <c r="AD52" s="165"/>
      <c r="AE52" s="78"/>
    </row>
    <row r="53" spans="1:31" ht="15.75" x14ac:dyDescent="0.25">
      <c r="A53" s="270" t="s">
        <v>57</v>
      </c>
      <c r="B53" s="181">
        <v>0</v>
      </c>
      <c r="C53" s="76">
        <v>0</v>
      </c>
      <c r="D53" s="76">
        <f t="shared" si="43"/>
        <v>0</v>
      </c>
      <c r="E53" s="175" t="str">
        <f t="shared" si="30"/>
        <v>-</v>
      </c>
      <c r="F53" s="207"/>
      <c r="G53" s="213">
        <v>0</v>
      </c>
      <c r="H53" s="130">
        <v>0</v>
      </c>
      <c r="I53" s="130">
        <f t="shared" si="44"/>
        <v>0</v>
      </c>
      <c r="J53" s="220" t="str">
        <f t="shared" si="32"/>
        <v>-</v>
      </c>
      <c r="K53" s="207"/>
      <c r="L53" s="181">
        <v>0</v>
      </c>
      <c r="M53" s="76">
        <v>0</v>
      </c>
      <c r="N53" s="76">
        <f t="shared" si="45"/>
        <v>0</v>
      </c>
      <c r="O53" s="175" t="str">
        <f t="shared" si="46"/>
        <v>-</v>
      </c>
      <c r="P53" s="207"/>
      <c r="Q53" s="213">
        <v>0</v>
      </c>
      <c r="R53" s="130">
        <v>0</v>
      </c>
      <c r="S53" s="130">
        <f t="shared" si="47"/>
        <v>0</v>
      </c>
      <c r="T53" s="220" t="str">
        <f t="shared" si="48"/>
        <v>-</v>
      </c>
      <c r="U53" s="207"/>
      <c r="V53" s="181">
        <f t="shared" si="49"/>
        <v>0</v>
      </c>
      <c r="W53" s="76">
        <f t="shared" si="50"/>
        <v>0</v>
      </c>
      <c r="X53" s="76">
        <f t="shared" si="51"/>
        <v>0</v>
      </c>
      <c r="Y53" s="175" t="str">
        <f t="shared" si="39"/>
        <v>-</v>
      </c>
      <c r="Z53" s="207"/>
      <c r="AA53" s="181">
        <f t="shared" si="40"/>
        <v>0</v>
      </c>
      <c r="AB53" s="76">
        <v>0</v>
      </c>
      <c r="AC53" s="175" t="str">
        <f t="shared" si="42"/>
        <v>-</v>
      </c>
      <c r="AD53" s="165"/>
      <c r="AE53" s="78"/>
    </row>
    <row r="54" spans="1:31" ht="15.75" x14ac:dyDescent="0.25">
      <c r="A54" s="145" t="s">
        <v>58</v>
      </c>
      <c r="B54" s="181">
        <v>0</v>
      </c>
      <c r="C54" s="76">
        <v>0</v>
      </c>
      <c r="D54" s="76">
        <f t="shared" si="43"/>
        <v>0</v>
      </c>
      <c r="E54" s="175" t="str">
        <f t="shared" si="30"/>
        <v>-</v>
      </c>
      <c r="F54" s="207"/>
      <c r="G54" s="213">
        <v>0</v>
      </c>
      <c r="H54" s="130">
        <v>0</v>
      </c>
      <c r="I54" s="130">
        <f t="shared" si="44"/>
        <v>0</v>
      </c>
      <c r="J54" s="220" t="str">
        <f t="shared" si="32"/>
        <v>-</v>
      </c>
      <c r="K54" s="207"/>
      <c r="L54" s="181">
        <v>0</v>
      </c>
      <c r="M54" s="76">
        <v>0</v>
      </c>
      <c r="N54" s="76">
        <f t="shared" si="45"/>
        <v>0</v>
      </c>
      <c r="O54" s="176" t="str">
        <f t="shared" si="46"/>
        <v>-</v>
      </c>
      <c r="P54" s="207"/>
      <c r="Q54" s="213">
        <v>0</v>
      </c>
      <c r="R54" s="130">
        <v>0</v>
      </c>
      <c r="S54" s="130">
        <f t="shared" si="47"/>
        <v>0</v>
      </c>
      <c r="T54" s="214" t="str">
        <f t="shared" si="48"/>
        <v>-</v>
      </c>
      <c r="U54" s="207"/>
      <c r="V54" s="181">
        <f t="shared" si="49"/>
        <v>0</v>
      </c>
      <c r="W54" s="76">
        <f t="shared" si="50"/>
        <v>0</v>
      </c>
      <c r="X54" s="76">
        <f t="shared" si="51"/>
        <v>0</v>
      </c>
      <c r="Y54" s="175" t="str">
        <f t="shared" si="39"/>
        <v>-</v>
      </c>
      <c r="Z54" s="207"/>
      <c r="AA54" s="181">
        <f t="shared" si="40"/>
        <v>0</v>
      </c>
      <c r="AB54" s="76">
        <f t="shared" ref="AB54:AB74" si="52">AA54-W54</f>
        <v>0</v>
      </c>
      <c r="AC54" s="175" t="str">
        <f t="shared" si="42"/>
        <v>-</v>
      </c>
      <c r="AD54" s="165"/>
      <c r="AE54" s="77"/>
    </row>
    <row r="55" spans="1:31" ht="15.75" x14ac:dyDescent="0.25">
      <c r="A55" s="145" t="s">
        <v>59</v>
      </c>
      <c r="B55" s="181">
        <v>1250</v>
      </c>
      <c r="C55" s="76">
        <v>1864.74</v>
      </c>
      <c r="D55" s="76">
        <f t="shared" si="43"/>
        <v>-614.74</v>
      </c>
      <c r="E55" s="175">
        <f t="shared" si="30"/>
        <v>-0.49179200000000001</v>
      </c>
      <c r="F55" s="207"/>
      <c r="G55" s="213">
        <v>1250</v>
      </c>
      <c r="H55" s="130">
        <v>0</v>
      </c>
      <c r="I55" s="130">
        <f t="shared" si="44"/>
        <v>1250</v>
      </c>
      <c r="J55" s="220">
        <f t="shared" si="32"/>
        <v>1</v>
      </c>
      <c r="K55" s="207"/>
      <c r="L55" s="181">
        <v>0</v>
      </c>
      <c r="M55" s="76">
        <v>0</v>
      </c>
      <c r="N55" s="76">
        <f t="shared" si="45"/>
        <v>0</v>
      </c>
      <c r="O55" s="176" t="str">
        <f t="shared" si="46"/>
        <v>-</v>
      </c>
      <c r="P55" s="207"/>
      <c r="Q55" s="213">
        <v>0</v>
      </c>
      <c r="R55" s="130">
        <v>0</v>
      </c>
      <c r="S55" s="130">
        <f t="shared" si="47"/>
        <v>0</v>
      </c>
      <c r="T55" s="214" t="str">
        <f t="shared" si="48"/>
        <v>-</v>
      </c>
      <c r="U55" s="207"/>
      <c r="V55" s="181">
        <f t="shared" si="49"/>
        <v>2500</v>
      </c>
      <c r="W55" s="76">
        <f t="shared" si="50"/>
        <v>1864.74</v>
      </c>
      <c r="X55" s="76">
        <f t="shared" si="51"/>
        <v>635.26</v>
      </c>
      <c r="Y55" s="175">
        <f t="shared" si="39"/>
        <v>0.254104</v>
      </c>
      <c r="Z55" s="207"/>
      <c r="AA55" s="181">
        <f t="shared" si="40"/>
        <v>5000</v>
      </c>
      <c r="AB55" s="76">
        <f t="shared" si="52"/>
        <v>3135.26</v>
      </c>
      <c r="AC55" s="175">
        <f t="shared" si="42"/>
        <v>0.62705200000000005</v>
      </c>
      <c r="AD55" s="165"/>
      <c r="AE55" s="77"/>
    </row>
    <row r="56" spans="1:31" ht="15.75" x14ac:dyDescent="0.25">
      <c r="A56" s="145" t="s">
        <v>60</v>
      </c>
      <c r="B56" s="181">
        <v>6835</v>
      </c>
      <c r="C56" s="76">
        <v>6300</v>
      </c>
      <c r="D56" s="76">
        <f t="shared" si="43"/>
        <v>535</v>
      </c>
      <c r="E56" s="175">
        <f t="shared" si="30"/>
        <v>7.8273591806876375E-2</v>
      </c>
      <c r="F56" s="207"/>
      <c r="G56" s="213">
        <v>6835</v>
      </c>
      <c r="H56" s="130">
        <v>6300</v>
      </c>
      <c r="I56" s="130">
        <f t="shared" si="44"/>
        <v>535</v>
      </c>
      <c r="J56" s="220">
        <f t="shared" si="32"/>
        <v>7.8273591806876375E-2</v>
      </c>
      <c r="K56" s="207"/>
      <c r="L56" s="181">
        <v>0</v>
      </c>
      <c r="M56" s="76">
        <v>0</v>
      </c>
      <c r="N56" s="76">
        <f t="shared" si="45"/>
        <v>0</v>
      </c>
      <c r="O56" s="175" t="str">
        <f t="shared" si="46"/>
        <v>-</v>
      </c>
      <c r="P56" s="207"/>
      <c r="Q56" s="213">
        <v>0</v>
      </c>
      <c r="R56" s="130">
        <v>0</v>
      </c>
      <c r="S56" s="130">
        <f t="shared" si="47"/>
        <v>0</v>
      </c>
      <c r="T56" s="220" t="str">
        <f t="shared" si="48"/>
        <v>-</v>
      </c>
      <c r="U56" s="207"/>
      <c r="V56" s="181">
        <f t="shared" si="49"/>
        <v>13670</v>
      </c>
      <c r="W56" s="76">
        <f t="shared" si="50"/>
        <v>12600</v>
      </c>
      <c r="X56" s="76">
        <f t="shared" si="51"/>
        <v>1070</v>
      </c>
      <c r="Y56" s="175">
        <f t="shared" si="39"/>
        <v>7.8273591806876375E-2</v>
      </c>
      <c r="Z56" s="207"/>
      <c r="AA56" s="181">
        <f t="shared" si="40"/>
        <v>27340</v>
      </c>
      <c r="AB56" s="76">
        <f t="shared" si="52"/>
        <v>14740</v>
      </c>
      <c r="AC56" s="175">
        <f t="shared" si="42"/>
        <v>0.53913679590343822</v>
      </c>
      <c r="AD56" s="165"/>
      <c r="AE56" s="78"/>
    </row>
    <row r="57" spans="1:31" ht="15.75" x14ac:dyDescent="0.25">
      <c r="A57" s="145" t="s">
        <v>61</v>
      </c>
      <c r="B57" s="181">
        <v>1250</v>
      </c>
      <c r="C57" s="76">
        <v>0</v>
      </c>
      <c r="D57" s="76">
        <f t="shared" si="43"/>
        <v>1250</v>
      </c>
      <c r="E57" s="175">
        <f t="shared" si="30"/>
        <v>1</v>
      </c>
      <c r="F57" s="207"/>
      <c r="G57" s="213">
        <v>1250</v>
      </c>
      <c r="H57" s="130">
        <v>0</v>
      </c>
      <c r="I57" s="130">
        <f t="shared" si="44"/>
        <v>1250</v>
      </c>
      <c r="J57" s="220">
        <f t="shared" si="32"/>
        <v>1</v>
      </c>
      <c r="K57" s="207"/>
      <c r="L57" s="181">
        <v>0</v>
      </c>
      <c r="M57" s="76">
        <v>0</v>
      </c>
      <c r="N57" s="76">
        <f t="shared" si="45"/>
        <v>0</v>
      </c>
      <c r="O57" s="175" t="str">
        <f t="shared" si="46"/>
        <v>-</v>
      </c>
      <c r="P57" s="207"/>
      <c r="Q57" s="213">
        <v>0</v>
      </c>
      <c r="R57" s="130">
        <v>0</v>
      </c>
      <c r="S57" s="130">
        <f t="shared" si="47"/>
        <v>0</v>
      </c>
      <c r="T57" s="220" t="str">
        <f t="shared" si="48"/>
        <v>-</v>
      </c>
      <c r="U57" s="207"/>
      <c r="V57" s="181">
        <f t="shared" si="49"/>
        <v>2500</v>
      </c>
      <c r="W57" s="76">
        <f t="shared" si="50"/>
        <v>0</v>
      </c>
      <c r="X57" s="76">
        <f t="shared" si="51"/>
        <v>2500</v>
      </c>
      <c r="Y57" s="175">
        <f t="shared" si="39"/>
        <v>1</v>
      </c>
      <c r="Z57" s="207"/>
      <c r="AA57" s="181">
        <f t="shared" si="40"/>
        <v>5000</v>
      </c>
      <c r="AB57" s="76">
        <f t="shared" si="52"/>
        <v>5000</v>
      </c>
      <c r="AC57" s="175">
        <f t="shared" si="42"/>
        <v>1</v>
      </c>
      <c r="AD57" s="165"/>
      <c r="AE57" s="78"/>
    </row>
    <row r="58" spans="1:31" ht="15.75" x14ac:dyDescent="0.25">
      <c r="A58" s="145" t="s">
        <v>62</v>
      </c>
      <c r="B58" s="181">
        <v>0</v>
      </c>
      <c r="C58" s="76">
        <v>0</v>
      </c>
      <c r="D58" s="76">
        <f t="shared" si="43"/>
        <v>0</v>
      </c>
      <c r="E58" s="175" t="str">
        <f t="shared" si="30"/>
        <v>-</v>
      </c>
      <c r="F58" s="205"/>
      <c r="G58" s="213">
        <v>0</v>
      </c>
      <c r="H58" s="130">
        <v>0</v>
      </c>
      <c r="I58" s="130">
        <f t="shared" si="44"/>
        <v>0</v>
      </c>
      <c r="J58" s="220" t="str">
        <f t="shared" si="32"/>
        <v>-</v>
      </c>
      <c r="K58" s="205"/>
      <c r="L58" s="181">
        <v>0</v>
      </c>
      <c r="M58" s="76">
        <v>0</v>
      </c>
      <c r="N58" s="76">
        <f t="shared" si="45"/>
        <v>0</v>
      </c>
      <c r="O58" s="175" t="str">
        <f t="shared" si="46"/>
        <v>-</v>
      </c>
      <c r="P58" s="205"/>
      <c r="Q58" s="213">
        <v>0</v>
      </c>
      <c r="R58" s="130">
        <v>0</v>
      </c>
      <c r="S58" s="130">
        <f t="shared" si="47"/>
        <v>0</v>
      </c>
      <c r="T58" s="220" t="str">
        <f t="shared" si="48"/>
        <v>-</v>
      </c>
      <c r="U58" s="205"/>
      <c r="V58" s="181">
        <f t="shared" si="49"/>
        <v>0</v>
      </c>
      <c r="W58" s="76">
        <f t="shared" si="50"/>
        <v>0</v>
      </c>
      <c r="X58" s="76">
        <f t="shared" si="51"/>
        <v>0</v>
      </c>
      <c r="Y58" s="175" t="str">
        <f t="shared" si="39"/>
        <v>-</v>
      </c>
      <c r="Z58" s="205"/>
      <c r="AA58" s="181">
        <f t="shared" si="40"/>
        <v>0</v>
      </c>
      <c r="AB58" s="76">
        <f t="shared" si="52"/>
        <v>0</v>
      </c>
      <c r="AC58" s="175" t="str">
        <f t="shared" si="42"/>
        <v>-</v>
      </c>
      <c r="AD58" s="163"/>
      <c r="AE58" s="78"/>
    </row>
    <row r="59" spans="1:31" ht="15.75" x14ac:dyDescent="0.25">
      <c r="A59" s="145" t="s">
        <v>63</v>
      </c>
      <c r="B59" s="181">
        <v>625</v>
      </c>
      <c r="C59" s="76">
        <v>1078.58</v>
      </c>
      <c r="D59" s="76">
        <f t="shared" si="43"/>
        <v>-453.57999999999993</v>
      </c>
      <c r="E59" s="175">
        <f t="shared" si="30"/>
        <v>-0.72572799999999993</v>
      </c>
      <c r="F59" s="205"/>
      <c r="G59" s="213">
        <v>625</v>
      </c>
      <c r="H59" s="130">
        <v>522.6</v>
      </c>
      <c r="I59" s="130">
        <f t="shared" si="44"/>
        <v>102.39999999999998</v>
      </c>
      <c r="J59" s="220">
        <f t="shared" si="32"/>
        <v>0.16383999999999996</v>
      </c>
      <c r="K59" s="205"/>
      <c r="L59" s="181">
        <v>0</v>
      </c>
      <c r="M59" s="76">
        <v>0</v>
      </c>
      <c r="N59" s="76">
        <f t="shared" si="45"/>
        <v>0</v>
      </c>
      <c r="O59" s="175" t="str">
        <f t="shared" si="46"/>
        <v>-</v>
      </c>
      <c r="P59" s="205"/>
      <c r="Q59" s="213">
        <v>0</v>
      </c>
      <c r="R59" s="130">
        <v>0</v>
      </c>
      <c r="S59" s="130">
        <f t="shared" si="47"/>
        <v>0</v>
      </c>
      <c r="T59" s="220" t="str">
        <f t="shared" si="48"/>
        <v>-</v>
      </c>
      <c r="U59" s="205"/>
      <c r="V59" s="181">
        <f t="shared" si="49"/>
        <v>1250</v>
      </c>
      <c r="W59" s="76">
        <f t="shared" si="50"/>
        <v>1601.1799999999998</v>
      </c>
      <c r="X59" s="76">
        <f t="shared" si="51"/>
        <v>-351.17999999999984</v>
      </c>
      <c r="Y59" s="175">
        <f t="shared" si="39"/>
        <v>-0.28094399999999986</v>
      </c>
      <c r="Z59" s="205"/>
      <c r="AA59" s="181">
        <f t="shared" si="40"/>
        <v>2500</v>
      </c>
      <c r="AB59" s="76">
        <f t="shared" si="52"/>
        <v>898.82000000000016</v>
      </c>
      <c r="AC59" s="175">
        <f t="shared" si="42"/>
        <v>0.35952800000000007</v>
      </c>
      <c r="AD59" s="163"/>
      <c r="AE59" s="78"/>
    </row>
    <row r="60" spans="1:31" ht="15.75" x14ac:dyDescent="0.25">
      <c r="A60" s="145" t="s">
        <v>64</v>
      </c>
      <c r="B60" s="181">
        <v>1750</v>
      </c>
      <c r="C60" s="76">
        <v>1534.25</v>
      </c>
      <c r="D60" s="76">
        <f t="shared" si="43"/>
        <v>215.75</v>
      </c>
      <c r="E60" s="175">
        <f t="shared" si="30"/>
        <v>0.12328571428571429</v>
      </c>
      <c r="F60" s="205"/>
      <c r="G60" s="213">
        <v>1750</v>
      </c>
      <c r="H60" s="130">
        <v>1929.93</v>
      </c>
      <c r="I60" s="130">
        <f t="shared" si="44"/>
        <v>-179.93000000000006</v>
      </c>
      <c r="J60" s="220">
        <f t="shared" si="32"/>
        <v>-0.1028171428571429</v>
      </c>
      <c r="K60" s="205"/>
      <c r="L60" s="181">
        <v>0</v>
      </c>
      <c r="M60" s="76">
        <v>0</v>
      </c>
      <c r="N60" s="76">
        <f t="shared" si="45"/>
        <v>0</v>
      </c>
      <c r="O60" s="175" t="str">
        <f t="shared" si="46"/>
        <v>-</v>
      </c>
      <c r="P60" s="205"/>
      <c r="Q60" s="213">
        <v>0</v>
      </c>
      <c r="R60" s="130">
        <v>0</v>
      </c>
      <c r="S60" s="130">
        <f t="shared" si="47"/>
        <v>0</v>
      </c>
      <c r="T60" s="220" t="str">
        <f t="shared" si="48"/>
        <v>-</v>
      </c>
      <c r="U60" s="205"/>
      <c r="V60" s="181">
        <f t="shared" si="49"/>
        <v>3500</v>
      </c>
      <c r="W60" s="76">
        <f t="shared" si="50"/>
        <v>3464.1800000000003</v>
      </c>
      <c r="X60" s="76">
        <f t="shared" si="51"/>
        <v>35.819999999999709</v>
      </c>
      <c r="Y60" s="175">
        <f t="shared" si="39"/>
        <v>1.0234285714285632E-2</v>
      </c>
      <c r="Z60" s="205"/>
      <c r="AA60" s="181">
        <f t="shared" si="40"/>
        <v>7000</v>
      </c>
      <c r="AB60" s="76">
        <f t="shared" si="52"/>
        <v>3535.8199999999997</v>
      </c>
      <c r="AC60" s="175">
        <f t="shared" si="42"/>
        <v>0.50511714285714282</v>
      </c>
      <c r="AD60" s="163"/>
      <c r="AE60" s="78"/>
    </row>
    <row r="61" spans="1:31" ht="15.75" x14ac:dyDescent="0.25">
      <c r="A61" s="145" t="s">
        <v>65</v>
      </c>
      <c r="B61" s="181">
        <v>2500</v>
      </c>
      <c r="C61" s="76">
        <v>0</v>
      </c>
      <c r="D61" s="76">
        <f t="shared" si="43"/>
        <v>2500</v>
      </c>
      <c r="E61" s="175">
        <f t="shared" si="30"/>
        <v>1</v>
      </c>
      <c r="F61" s="205"/>
      <c r="G61" s="213">
        <v>2500</v>
      </c>
      <c r="H61" s="130">
        <v>2908.1</v>
      </c>
      <c r="I61" s="130">
        <f t="shared" si="44"/>
        <v>-408.09999999999991</v>
      </c>
      <c r="J61" s="220">
        <f t="shared" si="32"/>
        <v>-0.16323999999999997</v>
      </c>
      <c r="K61" s="205"/>
      <c r="L61" s="181">
        <v>0</v>
      </c>
      <c r="M61" s="76">
        <v>0</v>
      </c>
      <c r="N61" s="76">
        <f t="shared" si="45"/>
        <v>0</v>
      </c>
      <c r="O61" s="175" t="str">
        <f t="shared" si="46"/>
        <v>-</v>
      </c>
      <c r="P61" s="205"/>
      <c r="Q61" s="213">
        <v>0</v>
      </c>
      <c r="R61" s="130">
        <v>0</v>
      </c>
      <c r="S61" s="130">
        <f t="shared" si="47"/>
        <v>0</v>
      </c>
      <c r="T61" s="220" t="str">
        <f t="shared" si="48"/>
        <v>-</v>
      </c>
      <c r="U61" s="205"/>
      <c r="V61" s="181">
        <f t="shared" si="49"/>
        <v>5000</v>
      </c>
      <c r="W61" s="76">
        <f t="shared" si="50"/>
        <v>2908.1</v>
      </c>
      <c r="X61" s="76">
        <f t="shared" si="51"/>
        <v>2091.9</v>
      </c>
      <c r="Y61" s="175">
        <f t="shared" si="39"/>
        <v>0.41838000000000003</v>
      </c>
      <c r="Z61" s="205"/>
      <c r="AA61" s="181">
        <f t="shared" si="40"/>
        <v>10000</v>
      </c>
      <c r="AB61" s="76">
        <f t="shared" si="52"/>
        <v>7091.9</v>
      </c>
      <c r="AC61" s="175">
        <f t="shared" si="42"/>
        <v>0.70918999999999999</v>
      </c>
      <c r="AD61" s="163"/>
      <c r="AE61" s="78"/>
    </row>
    <row r="62" spans="1:31" ht="15.75" x14ac:dyDescent="0.25">
      <c r="A62" s="145" t="s">
        <v>66</v>
      </c>
      <c r="B62" s="181">
        <v>10230</v>
      </c>
      <c r="C62" s="76">
        <v>0</v>
      </c>
      <c r="D62" s="76">
        <f t="shared" si="43"/>
        <v>10230</v>
      </c>
      <c r="E62" s="175">
        <f t="shared" si="30"/>
        <v>1</v>
      </c>
      <c r="F62" s="207"/>
      <c r="G62" s="213">
        <v>10230</v>
      </c>
      <c r="H62" s="130">
        <v>0</v>
      </c>
      <c r="I62" s="130">
        <f t="shared" si="44"/>
        <v>10230</v>
      </c>
      <c r="J62" s="220">
        <f t="shared" si="32"/>
        <v>1</v>
      </c>
      <c r="K62" s="207"/>
      <c r="L62" s="181">
        <v>0</v>
      </c>
      <c r="M62" s="76">
        <v>0</v>
      </c>
      <c r="N62" s="76">
        <f t="shared" si="45"/>
        <v>0</v>
      </c>
      <c r="O62" s="175" t="str">
        <f t="shared" si="46"/>
        <v>-</v>
      </c>
      <c r="P62" s="207"/>
      <c r="Q62" s="213">
        <v>0</v>
      </c>
      <c r="R62" s="130">
        <v>0</v>
      </c>
      <c r="S62" s="130">
        <f t="shared" si="47"/>
        <v>0</v>
      </c>
      <c r="T62" s="220" t="str">
        <f t="shared" si="48"/>
        <v>-</v>
      </c>
      <c r="U62" s="207"/>
      <c r="V62" s="181">
        <f t="shared" si="49"/>
        <v>20460</v>
      </c>
      <c r="W62" s="76">
        <f t="shared" si="50"/>
        <v>0</v>
      </c>
      <c r="X62" s="76">
        <f t="shared" si="51"/>
        <v>20460</v>
      </c>
      <c r="Y62" s="175">
        <f t="shared" si="39"/>
        <v>1</v>
      </c>
      <c r="Z62" s="207"/>
      <c r="AA62" s="181">
        <f t="shared" si="40"/>
        <v>40920</v>
      </c>
      <c r="AB62" s="76">
        <f t="shared" si="52"/>
        <v>40920</v>
      </c>
      <c r="AC62" s="175">
        <f t="shared" si="42"/>
        <v>1</v>
      </c>
      <c r="AD62" s="165"/>
      <c r="AE62" s="78"/>
    </row>
    <row r="63" spans="1:31" ht="15.75" x14ac:dyDescent="0.25">
      <c r="A63" s="145" t="s">
        <v>67</v>
      </c>
      <c r="B63" s="181">
        <v>2089750</v>
      </c>
      <c r="C63" s="76">
        <v>2012586.1800000002</v>
      </c>
      <c r="D63" s="76">
        <f t="shared" si="43"/>
        <v>77163.819999999832</v>
      </c>
      <c r="E63" s="175">
        <f t="shared" si="30"/>
        <v>3.6924904892929697E-2</v>
      </c>
      <c r="F63" s="207"/>
      <c r="G63" s="213">
        <v>2089750</v>
      </c>
      <c r="H63" s="130">
        <v>1818162.91</v>
      </c>
      <c r="I63" s="130">
        <f t="shared" si="44"/>
        <v>271587.09000000008</v>
      </c>
      <c r="J63" s="220">
        <f t="shared" si="32"/>
        <v>0.12996152171312361</v>
      </c>
      <c r="K63" s="207"/>
      <c r="L63" s="181">
        <v>0</v>
      </c>
      <c r="M63" s="76">
        <v>0</v>
      </c>
      <c r="N63" s="76">
        <f t="shared" si="45"/>
        <v>0</v>
      </c>
      <c r="O63" s="176" t="str">
        <f t="shared" si="46"/>
        <v>-</v>
      </c>
      <c r="P63" s="207"/>
      <c r="Q63" s="213">
        <v>0</v>
      </c>
      <c r="R63" s="130">
        <v>0</v>
      </c>
      <c r="S63" s="130">
        <f t="shared" si="47"/>
        <v>0</v>
      </c>
      <c r="T63" s="214" t="str">
        <f t="shared" si="48"/>
        <v>-</v>
      </c>
      <c r="U63" s="207"/>
      <c r="V63" s="181">
        <f t="shared" si="49"/>
        <v>4179500</v>
      </c>
      <c r="W63" s="76">
        <f t="shared" si="50"/>
        <v>3830749.09</v>
      </c>
      <c r="X63" s="76">
        <f t="shared" si="51"/>
        <v>348750.91000000015</v>
      </c>
      <c r="Y63" s="175">
        <f t="shared" si="39"/>
        <v>8.3443213303026717E-2</v>
      </c>
      <c r="Z63" s="207"/>
      <c r="AA63" s="181">
        <f t="shared" si="40"/>
        <v>8359000</v>
      </c>
      <c r="AB63" s="76">
        <f t="shared" si="52"/>
        <v>4528250.91</v>
      </c>
      <c r="AC63" s="175">
        <f t="shared" si="42"/>
        <v>0.54172160665151337</v>
      </c>
      <c r="AD63" s="165"/>
      <c r="AE63" s="77"/>
    </row>
    <row r="64" spans="1:31" ht="15.75" x14ac:dyDescent="0.25">
      <c r="A64" s="145" t="s">
        <v>68</v>
      </c>
      <c r="B64" s="181">
        <v>0</v>
      </c>
      <c r="C64" s="76">
        <v>0</v>
      </c>
      <c r="D64" s="76">
        <f t="shared" si="43"/>
        <v>0</v>
      </c>
      <c r="E64" s="175" t="str">
        <f t="shared" si="30"/>
        <v>-</v>
      </c>
      <c r="F64" s="207"/>
      <c r="G64" s="213">
        <v>0</v>
      </c>
      <c r="H64" s="130">
        <v>0</v>
      </c>
      <c r="I64" s="130">
        <f t="shared" si="44"/>
        <v>0</v>
      </c>
      <c r="J64" s="220" t="str">
        <f t="shared" si="32"/>
        <v>-</v>
      </c>
      <c r="K64" s="207"/>
      <c r="L64" s="181">
        <v>0</v>
      </c>
      <c r="M64" s="76">
        <v>0</v>
      </c>
      <c r="N64" s="76">
        <f t="shared" si="45"/>
        <v>0</v>
      </c>
      <c r="O64" s="175" t="str">
        <f t="shared" si="46"/>
        <v>-</v>
      </c>
      <c r="P64" s="207"/>
      <c r="Q64" s="213">
        <v>0</v>
      </c>
      <c r="R64" s="130">
        <v>0</v>
      </c>
      <c r="S64" s="130">
        <f t="shared" si="47"/>
        <v>0</v>
      </c>
      <c r="T64" s="220" t="str">
        <f t="shared" si="48"/>
        <v>-</v>
      </c>
      <c r="U64" s="207"/>
      <c r="V64" s="181">
        <f t="shared" si="49"/>
        <v>0</v>
      </c>
      <c r="W64" s="76">
        <f t="shared" si="50"/>
        <v>0</v>
      </c>
      <c r="X64" s="76">
        <f t="shared" si="51"/>
        <v>0</v>
      </c>
      <c r="Y64" s="175" t="str">
        <f t="shared" si="39"/>
        <v>-</v>
      </c>
      <c r="Z64" s="207"/>
      <c r="AA64" s="181">
        <f t="shared" si="40"/>
        <v>0</v>
      </c>
      <c r="AB64" s="76">
        <f t="shared" si="52"/>
        <v>0</v>
      </c>
      <c r="AC64" s="175" t="str">
        <f t="shared" si="42"/>
        <v>-</v>
      </c>
      <c r="AD64" s="165"/>
      <c r="AE64" s="78"/>
    </row>
    <row r="65" spans="1:31" ht="15.75" x14ac:dyDescent="0.25">
      <c r="A65" s="145" t="s">
        <v>69</v>
      </c>
      <c r="B65" s="181">
        <v>0</v>
      </c>
      <c r="C65" s="76">
        <v>0</v>
      </c>
      <c r="D65" s="76">
        <f t="shared" si="43"/>
        <v>0</v>
      </c>
      <c r="E65" s="175" t="str">
        <f t="shared" si="30"/>
        <v>-</v>
      </c>
      <c r="F65" s="205"/>
      <c r="G65" s="213">
        <v>0</v>
      </c>
      <c r="H65" s="130">
        <v>0</v>
      </c>
      <c r="I65" s="130">
        <f t="shared" si="44"/>
        <v>0</v>
      </c>
      <c r="J65" s="220" t="str">
        <f t="shared" si="32"/>
        <v>-</v>
      </c>
      <c r="K65" s="205"/>
      <c r="L65" s="181">
        <v>0</v>
      </c>
      <c r="M65" s="76">
        <v>0</v>
      </c>
      <c r="N65" s="76">
        <f t="shared" si="45"/>
        <v>0</v>
      </c>
      <c r="O65" s="176" t="str">
        <f t="shared" si="46"/>
        <v>-</v>
      </c>
      <c r="P65" s="205"/>
      <c r="Q65" s="213">
        <v>0</v>
      </c>
      <c r="R65" s="130">
        <v>0</v>
      </c>
      <c r="S65" s="130">
        <f t="shared" si="47"/>
        <v>0</v>
      </c>
      <c r="T65" s="214" t="str">
        <f t="shared" si="48"/>
        <v>-</v>
      </c>
      <c r="U65" s="205"/>
      <c r="V65" s="181">
        <f t="shared" si="49"/>
        <v>0</v>
      </c>
      <c r="W65" s="76">
        <f t="shared" si="50"/>
        <v>0</v>
      </c>
      <c r="X65" s="76">
        <f t="shared" si="51"/>
        <v>0</v>
      </c>
      <c r="Y65" s="175" t="str">
        <f t="shared" si="39"/>
        <v>-</v>
      </c>
      <c r="Z65" s="205"/>
      <c r="AA65" s="181">
        <f t="shared" si="40"/>
        <v>0</v>
      </c>
      <c r="AB65" s="76">
        <f t="shared" si="52"/>
        <v>0</v>
      </c>
      <c r="AC65" s="175" t="str">
        <f t="shared" si="42"/>
        <v>-</v>
      </c>
      <c r="AD65" s="163"/>
      <c r="AE65" s="77"/>
    </row>
    <row r="66" spans="1:31" ht="15.75" x14ac:dyDescent="0.25">
      <c r="A66" s="145" t="s">
        <v>70</v>
      </c>
      <c r="B66" s="181">
        <v>7800</v>
      </c>
      <c r="C66" s="76">
        <v>7800</v>
      </c>
      <c r="D66" s="76">
        <f t="shared" si="43"/>
        <v>0</v>
      </c>
      <c r="E66" s="175">
        <f t="shared" si="30"/>
        <v>0</v>
      </c>
      <c r="F66" s="207"/>
      <c r="G66" s="213">
        <v>7800</v>
      </c>
      <c r="H66" s="130">
        <v>7800</v>
      </c>
      <c r="I66" s="130">
        <f t="shared" si="44"/>
        <v>0</v>
      </c>
      <c r="J66" s="220">
        <f t="shared" si="32"/>
        <v>0</v>
      </c>
      <c r="K66" s="207"/>
      <c r="L66" s="181">
        <v>0</v>
      </c>
      <c r="M66" s="76">
        <v>0</v>
      </c>
      <c r="N66" s="76">
        <f t="shared" si="45"/>
        <v>0</v>
      </c>
      <c r="O66" s="176" t="str">
        <f t="shared" si="46"/>
        <v>-</v>
      </c>
      <c r="P66" s="207"/>
      <c r="Q66" s="213">
        <v>0</v>
      </c>
      <c r="R66" s="130">
        <v>0</v>
      </c>
      <c r="S66" s="130">
        <f t="shared" si="47"/>
        <v>0</v>
      </c>
      <c r="T66" s="214" t="str">
        <f t="shared" si="48"/>
        <v>-</v>
      </c>
      <c r="U66" s="207"/>
      <c r="V66" s="181">
        <f t="shared" si="49"/>
        <v>15600</v>
      </c>
      <c r="W66" s="76">
        <f t="shared" si="50"/>
        <v>15600</v>
      </c>
      <c r="X66" s="76">
        <f t="shared" si="51"/>
        <v>0</v>
      </c>
      <c r="Y66" s="175">
        <f t="shared" si="39"/>
        <v>0</v>
      </c>
      <c r="Z66" s="207"/>
      <c r="AA66" s="181">
        <f t="shared" si="40"/>
        <v>31200</v>
      </c>
      <c r="AB66" s="76">
        <f t="shared" si="52"/>
        <v>15600</v>
      </c>
      <c r="AC66" s="175">
        <f t="shared" si="42"/>
        <v>0.5</v>
      </c>
      <c r="AD66" s="165"/>
      <c r="AE66" s="77"/>
    </row>
    <row r="67" spans="1:31" ht="15.75" x14ac:dyDescent="0.25">
      <c r="A67" s="145" t="s">
        <v>71</v>
      </c>
      <c r="B67" s="181">
        <v>0</v>
      </c>
      <c r="C67" s="76">
        <v>0</v>
      </c>
      <c r="D67" s="76">
        <f t="shared" si="43"/>
        <v>0</v>
      </c>
      <c r="E67" s="175" t="str">
        <f t="shared" si="30"/>
        <v>-</v>
      </c>
      <c r="F67" s="207"/>
      <c r="G67" s="213">
        <v>0</v>
      </c>
      <c r="H67" s="130">
        <v>0</v>
      </c>
      <c r="I67" s="130">
        <f t="shared" si="44"/>
        <v>0</v>
      </c>
      <c r="J67" s="220" t="str">
        <f t="shared" si="32"/>
        <v>-</v>
      </c>
      <c r="K67" s="207"/>
      <c r="L67" s="181">
        <v>0</v>
      </c>
      <c r="M67" s="76">
        <v>0</v>
      </c>
      <c r="N67" s="76">
        <f t="shared" si="45"/>
        <v>0</v>
      </c>
      <c r="O67" s="175" t="str">
        <f t="shared" si="46"/>
        <v>-</v>
      </c>
      <c r="P67" s="207"/>
      <c r="Q67" s="213">
        <v>0</v>
      </c>
      <c r="R67" s="130">
        <v>0</v>
      </c>
      <c r="S67" s="130">
        <f t="shared" si="47"/>
        <v>0</v>
      </c>
      <c r="T67" s="220" t="str">
        <f t="shared" si="48"/>
        <v>-</v>
      </c>
      <c r="U67" s="207"/>
      <c r="V67" s="181">
        <f t="shared" si="49"/>
        <v>0</v>
      </c>
      <c r="W67" s="76">
        <f t="shared" si="50"/>
        <v>0</v>
      </c>
      <c r="X67" s="76">
        <f t="shared" si="51"/>
        <v>0</v>
      </c>
      <c r="Y67" s="175" t="str">
        <f t="shared" si="39"/>
        <v>-</v>
      </c>
      <c r="Z67" s="207"/>
      <c r="AA67" s="181">
        <f t="shared" si="40"/>
        <v>0</v>
      </c>
      <c r="AB67" s="76">
        <f t="shared" si="52"/>
        <v>0</v>
      </c>
      <c r="AC67" s="175" t="str">
        <f t="shared" si="42"/>
        <v>-</v>
      </c>
      <c r="AD67" s="165"/>
      <c r="AE67" s="78"/>
    </row>
    <row r="68" spans="1:31" ht="15.75" x14ac:dyDescent="0.25">
      <c r="A68" s="145" t="s">
        <v>72</v>
      </c>
      <c r="B68" s="181">
        <v>0</v>
      </c>
      <c r="C68" s="76">
        <v>0</v>
      </c>
      <c r="D68" s="76">
        <f t="shared" si="43"/>
        <v>0</v>
      </c>
      <c r="E68" s="175" t="str">
        <f t="shared" si="30"/>
        <v>-</v>
      </c>
      <c r="F68" s="205"/>
      <c r="G68" s="213">
        <v>0</v>
      </c>
      <c r="H68" s="130">
        <v>0</v>
      </c>
      <c r="I68" s="130">
        <f t="shared" si="44"/>
        <v>0</v>
      </c>
      <c r="J68" s="220" t="str">
        <f t="shared" si="32"/>
        <v>-</v>
      </c>
      <c r="K68" s="205"/>
      <c r="L68" s="181">
        <v>0</v>
      </c>
      <c r="M68" s="76">
        <v>0</v>
      </c>
      <c r="N68" s="76">
        <f t="shared" si="45"/>
        <v>0</v>
      </c>
      <c r="O68" s="175" t="str">
        <f t="shared" si="46"/>
        <v>-</v>
      </c>
      <c r="P68" s="205"/>
      <c r="Q68" s="213">
        <v>0</v>
      </c>
      <c r="R68" s="130">
        <v>0</v>
      </c>
      <c r="S68" s="130">
        <f t="shared" si="47"/>
        <v>0</v>
      </c>
      <c r="T68" s="220" t="str">
        <f t="shared" si="48"/>
        <v>-</v>
      </c>
      <c r="U68" s="205"/>
      <c r="V68" s="181">
        <f t="shared" si="49"/>
        <v>0</v>
      </c>
      <c r="W68" s="76">
        <f t="shared" si="50"/>
        <v>0</v>
      </c>
      <c r="X68" s="76">
        <f t="shared" si="51"/>
        <v>0</v>
      </c>
      <c r="Y68" s="175" t="str">
        <f t="shared" si="39"/>
        <v>-</v>
      </c>
      <c r="Z68" s="205"/>
      <c r="AA68" s="181">
        <f t="shared" si="40"/>
        <v>0</v>
      </c>
      <c r="AB68" s="76">
        <f t="shared" si="52"/>
        <v>0</v>
      </c>
      <c r="AC68" s="175" t="str">
        <f t="shared" si="42"/>
        <v>-</v>
      </c>
      <c r="AD68" s="163"/>
      <c r="AE68" s="78"/>
    </row>
    <row r="69" spans="1:31" ht="15.75" x14ac:dyDescent="0.25">
      <c r="A69" s="145" t="s">
        <v>73</v>
      </c>
      <c r="B69" s="181">
        <v>0</v>
      </c>
      <c r="C69" s="76">
        <v>0</v>
      </c>
      <c r="D69" s="76">
        <f t="shared" si="43"/>
        <v>0</v>
      </c>
      <c r="E69" s="175" t="str">
        <f t="shared" si="30"/>
        <v>-</v>
      </c>
      <c r="F69" s="207"/>
      <c r="G69" s="213">
        <v>0</v>
      </c>
      <c r="H69" s="130">
        <v>0</v>
      </c>
      <c r="I69" s="130">
        <f t="shared" si="44"/>
        <v>0</v>
      </c>
      <c r="J69" s="220" t="str">
        <f t="shared" si="32"/>
        <v>-</v>
      </c>
      <c r="K69" s="207"/>
      <c r="L69" s="181">
        <v>0</v>
      </c>
      <c r="M69" s="76">
        <v>0</v>
      </c>
      <c r="N69" s="76">
        <f t="shared" si="45"/>
        <v>0</v>
      </c>
      <c r="O69" s="175" t="str">
        <f t="shared" si="46"/>
        <v>-</v>
      </c>
      <c r="P69" s="207"/>
      <c r="Q69" s="213">
        <v>0</v>
      </c>
      <c r="R69" s="130">
        <v>0</v>
      </c>
      <c r="S69" s="130">
        <f t="shared" si="47"/>
        <v>0</v>
      </c>
      <c r="T69" s="220" t="str">
        <f t="shared" si="48"/>
        <v>-</v>
      </c>
      <c r="U69" s="207"/>
      <c r="V69" s="181">
        <f t="shared" si="49"/>
        <v>0</v>
      </c>
      <c r="W69" s="76">
        <f t="shared" si="50"/>
        <v>0</v>
      </c>
      <c r="X69" s="76">
        <f t="shared" si="51"/>
        <v>0</v>
      </c>
      <c r="Y69" s="175" t="str">
        <f t="shared" si="39"/>
        <v>-</v>
      </c>
      <c r="Z69" s="207"/>
      <c r="AA69" s="181">
        <f t="shared" si="40"/>
        <v>0</v>
      </c>
      <c r="AB69" s="76">
        <f t="shared" si="52"/>
        <v>0</v>
      </c>
      <c r="AC69" s="175" t="str">
        <f t="shared" si="42"/>
        <v>-</v>
      </c>
      <c r="AD69" s="165"/>
      <c r="AE69" s="78"/>
    </row>
    <row r="70" spans="1:31" ht="15.75" x14ac:dyDescent="0.25">
      <c r="A70" s="145" t="s">
        <v>74</v>
      </c>
      <c r="B70" s="181">
        <v>0</v>
      </c>
      <c r="C70" s="76">
        <v>0</v>
      </c>
      <c r="D70" s="76">
        <f t="shared" si="43"/>
        <v>0</v>
      </c>
      <c r="E70" s="175" t="str">
        <f t="shared" si="30"/>
        <v>-</v>
      </c>
      <c r="F70" s="205"/>
      <c r="G70" s="213">
        <v>0</v>
      </c>
      <c r="H70" s="130">
        <v>0</v>
      </c>
      <c r="I70" s="130">
        <f t="shared" si="44"/>
        <v>0</v>
      </c>
      <c r="J70" s="220" t="str">
        <f t="shared" si="32"/>
        <v>-</v>
      </c>
      <c r="K70" s="205"/>
      <c r="L70" s="181">
        <v>0</v>
      </c>
      <c r="M70" s="76">
        <v>0</v>
      </c>
      <c r="N70" s="76">
        <f t="shared" si="45"/>
        <v>0</v>
      </c>
      <c r="O70" s="175" t="str">
        <f t="shared" si="46"/>
        <v>-</v>
      </c>
      <c r="P70" s="205"/>
      <c r="Q70" s="213">
        <v>0</v>
      </c>
      <c r="R70" s="130">
        <v>0</v>
      </c>
      <c r="S70" s="130">
        <f t="shared" si="47"/>
        <v>0</v>
      </c>
      <c r="T70" s="220" t="str">
        <f t="shared" si="48"/>
        <v>-</v>
      </c>
      <c r="U70" s="205"/>
      <c r="V70" s="181">
        <f t="shared" si="49"/>
        <v>0</v>
      </c>
      <c r="W70" s="76">
        <f t="shared" si="50"/>
        <v>0</v>
      </c>
      <c r="X70" s="76">
        <f t="shared" si="51"/>
        <v>0</v>
      </c>
      <c r="Y70" s="175" t="str">
        <f t="shared" si="39"/>
        <v>-</v>
      </c>
      <c r="Z70" s="205"/>
      <c r="AA70" s="181">
        <f t="shared" si="40"/>
        <v>0</v>
      </c>
      <c r="AB70" s="76">
        <f t="shared" si="52"/>
        <v>0</v>
      </c>
      <c r="AC70" s="175" t="str">
        <f t="shared" si="42"/>
        <v>-</v>
      </c>
      <c r="AD70" s="163"/>
      <c r="AE70" s="78"/>
    </row>
    <row r="71" spans="1:31" ht="15.75" x14ac:dyDescent="0.25">
      <c r="A71" s="145" t="s">
        <v>75</v>
      </c>
      <c r="B71" s="181">
        <v>3750</v>
      </c>
      <c r="C71" s="76">
        <v>0</v>
      </c>
      <c r="D71" s="76">
        <f t="shared" si="43"/>
        <v>3750</v>
      </c>
      <c r="E71" s="175">
        <f t="shared" si="30"/>
        <v>1</v>
      </c>
      <c r="F71" s="207"/>
      <c r="G71" s="213">
        <v>3750</v>
      </c>
      <c r="H71" s="130">
        <v>0</v>
      </c>
      <c r="I71" s="130">
        <f t="shared" si="44"/>
        <v>3750</v>
      </c>
      <c r="J71" s="220">
        <f t="shared" si="32"/>
        <v>1</v>
      </c>
      <c r="K71" s="207"/>
      <c r="L71" s="181">
        <v>0</v>
      </c>
      <c r="M71" s="76">
        <v>0</v>
      </c>
      <c r="N71" s="76">
        <f t="shared" si="45"/>
        <v>0</v>
      </c>
      <c r="O71" s="175"/>
      <c r="P71" s="207"/>
      <c r="Q71" s="213">
        <v>0</v>
      </c>
      <c r="R71" s="130">
        <v>0</v>
      </c>
      <c r="S71" s="130">
        <f t="shared" si="47"/>
        <v>0</v>
      </c>
      <c r="T71" s="220"/>
      <c r="U71" s="207"/>
      <c r="V71" s="181">
        <f t="shared" si="49"/>
        <v>7500</v>
      </c>
      <c r="W71" s="76">
        <f t="shared" si="50"/>
        <v>0</v>
      </c>
      <c r="X71" s="76">
        <f t="shared" si="51"/>
        <v>7500</v>
      </c>
      <c r="Y71" s="175">
        <f t="shared" si="39"/>
        <v>1</v>
      </c>
      <c r="Z71" s="207"/>
      <c r="AA71" s="181">
        <f t="shared" si="40"/>
        <v>15000</v>
      </c>
      <c r="AB71" s="76">
        <f t="shared" si="52"/>
        <v>15000</v>
      </c>
      <c r="AC71" s="175">
        <f t="shared" si="42"/>
        <v>1</v>
      </c>
      <c r="AD71" s="165"/>
      <c r="AE71" s="77"/>
    </row>
    <row r="72" spans="1:31" ht="15.75" x14ac:dyDescent="0.25">
      <c r="A72" s="145" t="s">
        <v>76</v>
      </c>
      <c r="B72" s="181"/>
      <c r="C72" s="76"/>
      <c r="D72" s="76">
        <f t="shared" si="43"/>
        <v>0</v>
      </c>
      <c r="E72" s="175" t="str">
        <f t="shared" si="30"/>
        <v>-</v>
      </c>
      <c r="F72" s="205"/>
      <c r="G72" s="226">
        <v>0</v>
      </c>
      <c r="H72" s="135">
        <v>0</v>
      </c>
      <c r="I72" s="130">
        <f t="shared" si="44"/>
        <v>0</v>
      </c>
      <c r="J72" s="220" t="str">
        <f t="shared" si="32"/>
        <v>-</v>
      </c>
      <c r="K72" s="205"/>
      <c r="L72" s="181"/>
      <c r="M72" s="76"/>
      <c r="N72" s="76">
        <f t="shared" si="45"/>
        <v>0</v>
      </c>
      <c r="O72" s="176" t="str">
        <f>IF(ISERROR(N72/L72),"-",N72/L72)</f>
        <v>-</v>
      </c>
      <c r="P72" s="205"/>
      <c r="Q72" s="213">
        <v>0</v>
      </c>
      <c r="R72" s="130">
        <v>0</v>
      </c>
      <c r="S72" s="130">
        <f t="shared" si="47"/>
        <v>0</v>
      </c>
      <c r="T72" s="214" t="str">
        <f>IF(ISERROR(S72/Q72),"-",S72/Q72)</f>
        <v>-</v>
      </c>
      <c r="U72" s="205"/>
      <c r="V72" s="181">
        <f t="shared" si="49"/>
        <v>0</v>
      </c>
      <c r="W72" s="76">
        <f t="shared" si="50"/>
        <v>0</v>
      </c>
      <c r="X72" s="76">
        <f t="shared" si="51"/>
        <v>0</v>
      </c>
      <c r="Y72" s="175" t="str">
        <f t="shared" si="39"/>
        <v>-</v>
      </c>
      <c r="Z72" s="205"/>
      <c r="AA72" s="181">
        <f t="shared" si="40"/>
        <v>0</v>
      </c>
      <c r="AB72" s="76">
        <f t="shared" si="52"/>
        <v>0</v>
      </c>
      <c r="AC72" s="175" t="str">
        <f t="shared" si="42"/>
        <v>-</v>
      </c>
      <c r="AD72" s="163"/>
      <c r="AE72" s="77"/>
    </row>
    <row r="73" spans="1:31" ht="15.75" x14ac:dyDescent="0.25">
      <c r="A73" s="145" t="s">
        <v>77</v>
      </c>
      <c r="B73" s="181">
        <v>3000</v>
      </c>
      <c r="C73" s="76">
        <v>1759.26</v>
      </c>
      <c r="D73" s="76">
        <f t="shared" si="43"/>
        <v>1240.74</v>
      </c>
      <c r="E73" s="175">
        <f t="shared" si="30"/>
        <v>0.41358</v>
      </c>
      <c r="F73" s="205"/>
      <c r="G73" s="226">
        <v>3000</v>
      </c>
      <c r="H73" s="135">
        <v>1759.26</v>
      </c>
      <c r="I73" s="130">
        <f t="shared" si="44"/>
        <v>1240.74</v>
      </c>
      <c r="J73" s="220">
        <f t="shared" si="32"/>
        <v>0.41358</v>
      </c>
      <c r="K73" s="205"/>
      <c r="L73" s="181"/>
      <c r="M73" s="76"/>
      <c r="N73" s="76">
        <f t="shared" si="45"/>
        <v>0</v>
      </c>
      <c r="O73" s="176" t="str">
        <f>IF(ISERROR(N73/L73),"-",N73/L73)</f>
        <v>-</v>
      </c>
      <c r="P73" s="205"/>
      <c r="Q73" s="213">
        <v>0</v>
      </c>
      <c r="R73" s="130">
        <v>0</v>
      </c>
      <c r="S73" s="130">
        <f t="shared" si="47"/>
        <v>0</v>
      </c>
      <c r="T73" s="214" t="str">
        <f>IF(ISERROR(S73/Q73),"-",S73/Q73)</f>
        <v>-</v>
      </c>
      <c r="U73" s="205"/>
      <c r="V73" s="181">
        <f t="shared" si="49"/>
        <v>6000</v>
      </c>
      <c r="W73" s="76">
        <f t="shared" si="50"/>
        <v>3518.52</v>
      </c>
      <c r="X73" s="76">
        <f t="shared" si="51"/>
        <v>2481.48</v>
      </c>
      <c r="Y73" s="175">
        <f t="shared" si="39"/>
        <v>0.41358</v>
      </c>
      <c r="Z73" s="205"/>
      <c r="AA73" s="181">
        <f t="shared" si="40"/>
        <v>12000</v>
      </c>
      <c r="AB73" s="76">
        <f t="shared" si="52"/>
        <v>8481.48</v>
      </c>
      <c r="AC73" s="175">
        <f t="shared" si="42"/>
        <v>0.70678999999999992</v>
      </c>
      <c r="AD73" s="163"/>
      <c r="AE73" s="77"/>
    </row>
    <row r="74" spans="1:31" ht="15.75" x14ac:dyDescent="0.25">
      <c r="A74" s="153" t="s">
        <v>78</v>
      </c>
      <c r="B74" s="187"/>
      <c r="C74" s="79"/>
      <c r="D74" s="79">
        <f t="shared" si="43"/>
        <v>0</v>
      </c>
      <c r="E74" s="252" t="str">
        <f t="shared" ref="E74" si="53">IF(ISERROR(D74/B74),"-",D74/B74)</f>
        <v>-</v>
      </c>
      <c r="F74" s="205"/>
      <c r="G74" s="221"/>
      <c r="H74" s="133"/>
      <c r="I74" s="133">
        <f t="shared" si="44"/>
        <v>0</v>
      </c>
      <c r="J74" s="227" t="str">
        <f t="shared" ref="J74" si="54">IF(ISERROR(I74/G74),"-",I74/G74)</f>
        <v>-</v>
      </c>
      <c r="K74" s="205"/>
      <c r="L74" s="187"/>
      <c r="M74" s="79"/>
      <c r="N74" s="79"/>
      <c r="O74" s="188"/>
      <c r="P74" s="205"/>
      <c r="Q74" s="221"/>
      <c r="R74" s="133"/>
      <c r="S74" s="133"/>
      <c r="T74" s="222"/>
      <c r="U74" s="205"/>
      <c r="V74" s="187">
        <f t="shared" si="49"/>
        <v>0</v>
      </c>
      <c r="W74" s="79">
        <f t="shared" si="50"/>
        <v>0</v>
      </c>
      <c r="X74" s="79">
        <f t="shared" si="51"/>
        <v>0</v>
      </c>
      <c r="Y74" s="175" t="str">
        <f t="shared" si="39"/>
        <v>-</v>
      </c>
      <c r="Z74" s="205"/>
      <c r="AA74" s="187">
        <v>0</v>
      </c>
      <c r="AB74" s="79">
        <f t="shared" si="52"/>
        <v>0</v>
      </c>
      <c r="AC74" s="175" t="str">
        <f t="shared" si="42"/>
        <v>-</v>
      </c>
      <c r="AD74" s="163"/>
      <c r="AE74" s="77"/>
    </row>
    <row r="75" spans="1:31" ht="15.75" x14ac:dyDescent="0.25">
      <c r="A75" s="153"/>
      <c r="B75" s="187"/>
      <c r="C75" s="79"/>
      <c r="D75" s="79"/>
      <c r="E75" s="252"/>
      <c r="F75" s="205"/>
      <c r="G75" s="221"/>
      <c r="H75" s="133"/>
      <c r="I75" s="133"/>
      <c r="J75" s="227"/>
      <c r="K75" s="205"/>
      <c r="L75" s="187"/>
      <c r="M75" s="79"/>
      <c r="N75" s="79"/>
      <c r="O75" s="188"/>
      <c r="P75" s="205"/>
      <c r="Q75" s="221"/>
      <c r="R75" s="133"/>
      <c r="S75" s="133"/>
      <c r="T75" s="222"/>
      <c r="U75" s="205"/>
      <c r="V75" s="187"/>
      <c r="W75" s="79"/>
      <c r="X75" s="79"/>
      <c r="Y75" s="252"/>
      <c r="Z75" s="205"/>
      <c r="AA75" s="187"/>
      <c r="AB75" s="79"/>
      <c r="AC75" s="252"/>
      <c r="AD75" s="163"/>
      <c r="AE75" s="77"/>
    </row>
    <row r="76" spans="1:31" ht="15.75" x14ac:dyDescent="0.25">
      <c r="A76" s="146" t="s">
        <v>79</v>
      </c>
      <c r="B76" s="177">
        <f>SUM(B42:B73)</f>
        <v>2194710</v>
      </c>
      <c r="C76" s="110">
        <f>SUM(C42:C73)</f>
        <v>2047031.1700000002</v>
      </c>
      <c r="D76" s="110">
        <f>SUM(D42:D73)</f>
        <v>147678.82999999981</v>
      </c>
      <c r="E76" s="178">
        <f>IF(ISERROR(D76/B76),"-",D76/B76)</f>
        <v>6.7288539260312211E-2</v>
      </c>
      <c r="F76" s="206"/>
      <c r="G76" s="177">
        <f>SUM(G42:G73)</f>
        <v>2194710</v>
      </c>
      <c r="H76" s="110">
        <f>SUM(H42:H73)</f>
        <v>1852778.2999999998</v>
      </c>
      <c r="I76" s="110">
        <f>SUM(I42:I73)</f>
        <v>341931.70000000007</v>
      </c>
      <c r="J76" s="178">
        <f>IF(ISERROR(I76/G76),"-",I76/G76)</f>
        <v>0.15579812367009768</v>
      </c>
      <c r="K76" s="206"/>
      <c r="L76" s="177">
        <f>SUM(L42:L73)</f>
        <v>0</v>
      </c>
      <c r="M76" s="110">
        <f>SUM(M42:M73)</f>
        <v>0</v>
      </c>
      <c r="N76" s="110">
        <f>SUM(N42:N73)</f>
        <v>0</v>
      </c>
      <c r="O76" s="178" t="str">
        <f>IF(ISERROR(N76/L76),"-",N76/L76)</f>
        <v>-</v>
      </c>
      <c r="P76" s="206"/>
      <c r="Q76" s="177">
        <f>SUM(Q42:Q73)</f>
        <v>0</v>
      </c>
      <c r="R76" s="110">
        <f>SUM(R42:R73)</f>
        <v>0</v>
      </c>
      <c r="S76" s="110">
        <f>SUM(S42:S73)</f>
        <v>0</v>
      </c>
      <c r="T76" s="178" t="str">
        <f>IF(ISERROR(S76/Q76),"-",S76/Q76)</f>
        <v>-</v>
      </c>
      <c r="U76" s="206"/>
      <c r="V76" s="177">
        <f>SUM(V42:V73)</f>
        <v>4389420</v>
      </c>
      <c r="W76" s="110">
        <f>SUM(W42:W73)</f>
        <v>3899809.4699999997</v>
      </c>
      <c r="X76" s="110">
        <f>SUM(X42:X73)</f>
        <v>489610.53000000014</v>
      </c>
      <c r="Y76" s="178">
        <f>IF(ISERROR(X76/V76),"-",X76/V76)</f>
        <v>0.11154333146520501</v>
      </c>
      <c r="Z76" s="206"/>
      <c r="AA76" s="177">
        <f>SUM(AA42:AA73)</f>
        <v>8778840</v>
      </c>
      <c r="AB76" s="110">
        <f>SUM(AB42:AB73)</f>
        <v>4879030.53</v>
      </c>
      <c r="AC76" s="178">
        <f>IF(ISERROR(AB76/AA76),"-",AB76/AA76)</f>
        <v>0.5557716657326025</v>
      </c>
      <c r="AD76" s="164"/>
      <c r="AE76" s="80"/>
    </row>
    <row r="77" spans="1:31" ht="15.75" x14ac:dyDescent="0.25">
      <c r="A77" s="154"/>
      <c r="B77" s="191"/>
      <c r="C77" s="91"/>
      <c r="D77" s="91"/>
      <c r="E77" s="192"/>
      <c r="F77" s="203"/>
      <c r="G77" s="228"/>
      <c r="H77" s="136"/>
      <c r="I77" s="136"/>
      <c r="J77" s="229"/>
      <c r="K77" s="203"/>
      <c r="L77" s="191"/>
      <c r="M77" s="91"/>
      <c r="N77" s="91"/>
      <c r="O77" s="192"/>
      <c r="P77" s="203"/>
      <c r="Q77" s="228"/>
      <c r="R77" s="136"/>
      <c r="S77" s="136"/>
      <c r="T77" s="238"/>
      <c r="U77" s="203"/>
      <c r="V77" s="241"/>
      <c r="W77" s="92"/>
      <c r="X77" s="91"/>
      <c r="Y77" s="192"/>
      <c r="Z77" s="203"/>
      <c r="AA77" s="241"/>
      <c r="AB77" s="91"/>
      <c r="AC77" s="192"/>
      <c r="AD77" s="161"/>
      <c r="AE77" s="77"/>
    </row>
    <row r="78" spans="1:31" ht="15.75" x14ac:dyDescent="0.25">
      <c r="A78" s="146" t="s">
        <v>80</v>
      </c>
      <c r="B78" s="177">
        <f>B40+B76+B77</f>
        <v>2325134.5</v>
      </c>
      <c r="C78" s="110">
        <f>C40+C76+C77</f>
        <v>2168491.27</v>
      </c>
      <c r="D78" s="110">
        <f>D40+D76+D77</f>
        <v>156643.22999999981</v>
      </c>
      <c r="E78" s="178">
        <f>IF(ISERROR(D78/B78),"-",D78/B78)</f>
        <v>6.7369534966686795E-2</v>
      </c>
      <c r="F78" s="207"/>
      <c r="G78" s="177">
        <f>G40+G76+G77</f>
        <v>2325134.5</v>
      </c>
      <c r="H78" s="110">
        <f>H40+H76+H77</f>
        <v>1974342.6199999999</v>
      </c>
      <c r="I78" s="110">
        <f>I40+I76+I77</f>
        <v>350791.88000000006</v>
      </c>
      <c r="J78" s="178">
        <f>IF(ISERROR(I78/G78),"-",I78/G78)</f>
        <v>0.15086950023751317</v>
      </c>
      <c r="K78" s="207"/>
      <c r="L78" s="177">
        <f>L40+L76+L77</f>
        <v>0</v>
      </c>
      <c r="M78" s="110">
        <f>M40+M76+M77</f>
        <v>0</v>
      </c>
      <c r="N78" s="110">
        <f>N40+N76+N77</f>
        <v>0</v>
      </c>
      <c r="O78" s="178" t="str">
        <f>IF(ISERROR(N78/L78),"-",N78/L78)</f>
        <v>-</v>
      </c>
      <c r="P78" s="207"/>
      <c r="Q78" s="177">
        <f>Q40+Q76+Q77</f>
        <v>0</v>
      </c>
      <c r="R78" s="110">
        <f>R40+R76+R77</f>
        <v>0</v>
      </c>
      <c r="S78" s="110">
        <f>S40+S76+S77</f>
        <v>0</v>
      </c>
      <c r="T78" s="178" t="str">
        <f>IF(ISERROR(S78/Q78),"-",S78/Q78)</f>
        <v>-</v>
      </c>
      <c r="U78" s="207"/>
      <c r="V78" s="177">
        <f>V40+V76+V77</f>
        <v>4650269</v>
      </c>
      <c r="W78" s="110">
        <f>W40+W76+W77</f>
        <v>4142833.8899999997</v>
      </c>
      <c r="X78" s="110">
        <f>X40+X76+X77</f>
        <v>507435.11000000016</v>
      </c>
      <c r="Y78" s="178">
        <f>IF(ISERROR(X78/V78),"-",X78/V78)</f>
        <v>0.10911951760210004</v>
      </c>
      <c r="Z78" s="207"/>
      <c r="AA78" s="177">
        <f>AA40+AA76+AA77</f>
        <v>9300538</v>
      </c>
      <c r="AB78" s="110">
        <f>AB40+AB76+AB77</f>
        <v>5157704.1100000003</v>
      </c>
      <c r="AC78" s="178">
        <f>IF(ISERROR(AB78/AA78),"-",AB78/AA78)</f>
        <v>0.55455975880105002</v>
      </c>
      <c r="AD78" s="165"/>
      <c r="AE78" s="80"/>
    </row>
    <row r="79" spans="1:31" ht="15.75" x14ac:dyDescent="0.25">
      <c r="A79" s="155"/>
      <c r="B79" s="191"/>
      <c r="C79" s="91"/>
      <c r="D79" s="91"/>
      <c r="E79" s="192"/>
      <c r="F79" s="203"/>
      <c r="G79" s="228"/>
      <c r="H79" s="136"/>
      <c r="I79" s="136"/>
      <c r="J79" s="229"/>
      <c r="K79" s="203"/>
      <c r="L79" s="191"/>
      <c r="M79" s="91"/>
      <c r="N79" s="91"/>
      <c r="O79" s="192"/>
      <c r="P79" s="203"/>
      <c r="Q79" s="228"/>
      <c r="R79" s="136"/>
      <c r="S79" s="136"/>
      <c r="T79" s="229"/>
      <c r="U79" s="203"/>
      <c r="V79" s="241"/>
      <c r="W79" s="92"/>
      <c r="X79" s="91"/>
      <c r="Y79" s="192"/>
      <c r="Z79" s="203"/>
      <c r="AA79" s="241"/>
      <c r="AB79" s="91"/>
      <c r="AC79" s="192"/>
      <c r="AD79" s="161"/>
      <c r="AE79" s="77"/>
    </row>
    <row r="80" spans="1:31" ht="15.75" x14ac:dyDescent="0.25">
      <c r="A80" s="146" t="s">
        <v>81</v>
      </c>
      <c r="B80" s="177">
        <f>B27-B78</f>
        <v>-493443.45500000077</v>
      </c>
      <c r="C80" s="110">
        <f>C27-C78</f>
        <v>-500680.99</v>
      </c>
      <c r="D80" s="110">
        <f>D27+D78</f>
        <v>-7237.5349999994505</v>
      </c>
      <c r="E80" s="178">
        <f>IF(ISERROR(D80/B80),"-",D80/B80)</f>
        <v>1.4667405001854648E-2</v>
      </c>
      <c r="F80" s="207"/>
      <c r="G80" s="177">
        <f>G27-G78</f>
        <v>-493443.45500000077</v>
      </c>
      <c r="H80" s="110">
        <f>H27-H78</f>
        <v>-285889</v>
      </c>
      <c r="I80" s="110">
        <f>I27+I78</f>
        <v>207554.45500000069</v>
      </c>
      <c r="J80" s="178">
        <f>IF(ISERROR(I80/G80),"-",I80/G80)</f>
        <v>-0.42062459821257608</v>
      </c>
      <c r="K80" s="207"/>
      <c r="L80" s="177">
        <f>L27-L78</f>
        <v>0</v>
      </c>
      <c r="M80" s="110">
        <f>M27-M78</f>
        <v>0</v>
      </c>
      <c r="N80" s="110">
        <f>N27+N78</f>
        <v>0</v>
      </c>
      <c r="O80" s="178" t="str">
        <f>IF(ISERROR(N80/L80),"-",N80/L80)</f>
        <v>-</v>
      </c>
      <c r="P80" s="207"/>
      <c r="Q80" s="177">
        <f>Q27-Q78</f>
        <v>0</v>
      </c>
      <c r="R80" s="110">
        <f>R27-R78</f>
        <v>0</v>
      </c>
      <c r="S80" s="110">
        <f>S27+S78</f>
        <v>0</v>
      </c>
      <c r="T80" s="178" t="str">
        <f>IF(ISERROR(S80/Q80),"-",S80/Q80)</f>
        <v>-</v>
      </c>
      <c r="U80" s="207"/>
      <c r="V80" s="242">
        <f>V27-V78</f>
        <v>-986886.91000000155</v>
      </c>
      <c r="W80" s="109">
        <f>W27-W78</f>
        <v>-786569.99000000022</v>
      </c>
      <c r="X80" s="109">
        <f>X27+X78</f>
        <v>200316.92000000126</v>
      </c>
      <c r="Y80" s="243">
        <f>IF(ISERROR(X80/V80),"-",X80/V80)</f>
        <v>-0.20297859660536074</v>
      </c>
      <c r="Z80" s="207"/>
      <c r="AA80" s="177">
        <f>AA27-AA78</f>
        <v>-1973773.8200000031</v>
      </c>
      <c r="AB80" s="110">
        <f>AB27-AB78</f>
        <v>-1187203.8300000029</v>
      </c>
      <c r="AC80" s="178">
        <f>IF(ISERROR(AB80/AA80),"-",AB80/AA80)</f>
        <v>0.60148929830268039</v>
      </c>
      <c r="AD80" s="165"/>
      <c r="AE80" s="80"/>
    </row>
    <row r="81" spans="1:31" ht="15.75" x14ac:dyDescent="0.25">
      <c r="A81" s="156"/>
      <c r="B81" s="193"/>
      <c r="C81" s="93"/>
      <c r="D81" s="94"/>
      <c r="E81" s="194"/>
      <c r="F81" s="111"/>
      <c r="G81" s="230"/>
      <c r="H81" s="137"/>
      <c r="I81" s="138"/>
      <c r="J81" s="231"/>
      <c r="K81" s="111"/>
      <c r="L81" s="193"/>
      <c r="M81" s="93"/>
      <c r="N81" s="94"/>
      <c r="O81" s="194"/>
      <c r="P81" s="111"/>
      <c r="Q81" s="230"/>
      <c r="R81" s="137"/>
      <c r="S81" s="138"/>
      <c r="T81" s="231"/>
      <c r="U81" s="111"/>
      <c r="V81" s="179"/>
      <c r="W81" s="81"/>
      <c r="X81" s="94"/>
      <c r="Y81" s="194"/>
      <c r="Z81" s="111"/>
      <c r="AA81" s="179"/>
      <c r="AB81" s="94"/>
      <c r="AC81" s="194"/>
      <c r="AD81" s="166"/>
      <c r="AE81" s="77"/>
    </row>
    <row r="82" spans="1:31" ht="15.75" x14ac:dyDescent="0.25">
      <c r="A82" s="148" t="s">
        <v>82</v>
      </c>
      <c r="B82" s="181"/>
      <c r="C82" s="76"/>
      <c r="D82" s="76">
        <f>B82-C82</f>
        <v>0</v>
      </c>
      <c r="E82" s="176" t="str">
        <f>IF(ISERROR(D82/B82),"-",D82/B82)</f>
        <v>-</v>
      </c>
      <c r="F82" s="207"/>
      <c r="G82" s="213"/>
      <c r="H82" s="130"/>
      <c r="I82" s="130">
        <f>G82-H82</f>
        <v>0</v>
      </c>
      <c r="J82" s="214" t="str">
        <f>IF(ISERROR(I82/G82),"-",I82/G82)</f>
        <v>-</v>
      </c>
      <c r="K82" s="207"/>
      <c r="L82" s="181"/>
      <c r="M82" s="76"/>
      <c r="N82" s="76">
        <f>L82-M82</f>
        <v>0</v>
      </c>
      <c r="O82" s="176" t="str">
        <f>IF(ISERROR(N82/L82),"-",N82/L82)</f>
        <v>-</v>
      </c>
      <c r="P82" s="207"/>
      <c r="Q82" s="213"/>
      <c r="R82" s="130"/>
      <c r="S82" s="130">
        <f>Q82-R82</f>
        <v>0</v>
      </c>
      <c r="T82" s="214" t="str">
        <f>IF(ISERROR(S82/Q82),"-",S82/Q82)</f>
        <v>-</v>
      </c>
      <c r="U82" s="207"/>
      <c r="V82" s="181">
        <f>B82+G82+L82+Q82</f>
        <v>0</v>
      </c>
      <c r="W82" s="76">
        <f>C82+H82+M82+R82</f>
        <v>0</v>
      </c>
      <c r="X82" s="76">
        <f>V82-W82</f>
        <v>0</v>
      </c>
      <c r="Y82" s="176" t="str">
        <f>IF(ISERROR(X82/V82),"-",X82/V82)</f>
        <v>-</v>
      </c>
      <c r="Z82" s="207"/>
      <c r="AA82" s="181">
        <f>G82+L82+Q82+V82</f>
        <v>0</v>
      </c>
      <c r="AB82" s="76">
        <f>AA82-W82</f>
        <v>0</v>
      </c>
      <c r="AC82" s="176" t="str">
        <f>IF(ISERROR(AB82/AA82),"-",AB82/AA82)</f>
        <v>-</v>
      </c>
      <c r="AD82" s="165"/>
      <c r="AE82" s="77"/>
    </row>
    <row r="83" spans="1:31" ht="15.75" x14ac:dyDescent="0.25">
      <c r="A83" s="149"/>
      <c r="B83" s="195"/>
      <c r="C83" s="95"/>
      <c r="D83" s="95"/>
      <c r="E83" s="196"/>
      <c r="F83" s="111"/>
      <c r="G83" s="232"/>
      <c r="H83" s="139"/>
      <c r="I83" s="139"/>
      <c r="J83" s="233"/>
      <c r="K83" s="111"/>
      <c r="L83" s="195"/>
      <c r="M83" s="95"/>
      <c r="N83" s="95"/>
      <c r="O83" s="196"/>
      <c r="P83" s="111"/>
      <c r="Q83" s="232"/>
      <c r="R83" s="139"/>
      <c r="S83" s="139"/>
      <c r="T83" s="233"/>
      <c r="U83" s="111"/>
      <c r="V83" s="195"/>
      <c r="W83" s="95"/>
      <c r="X83" s="95"/>
      <c r="Y83" s="196"/>
      <c r="Z83" s="111"/>
      <c r="AA83" s="195"/>
      <c r="AB83" s="95"/>
      <c r="AC83" s="196"/>
      <c r="AD83" s="166"/>
      <c r="AE83" s="77"/>
    </row>
    <row r="84" spans="1:31" ht="16.5" thickBot="1" x14ac:dyDescent="0.3">
      <c r="A84" s="157" t="s">
        <v>83</v>
      </c>
      <c r="B84" s="197">
        <f>B80-B82</f>
        <v>-493443.45500000077</v>
      </c>
      <c r="C84" s="198">
        <f>C80-C82</f>
        <v>-500680.99</v>
      </c>
      <c r="D84" s="198">
        <f>D80+D82</f>
        <v>-7237.5349999994505</v>
      </c>
      <c r="E84" s="199">
        <f>IF(ISERROR(D84/B84),"-",D84/B84)</f>
        <v>1.4667405001854648E-2</v>
      </c>
      <c r="F84" s="208"/>
      <c r="G84" s="197">
        <f>G80-G82</f>
        <v>-493443.45500000077</v>
      </c>
      <c r="H84" s="198">
        <f>H80-H82</f>
        <v>-285889</v>
      </c>
      <c r="I84" s="198">
        <f>I80+I82</f>
        <v>207554.45500000069</v>
      </c>
      <c r="J84" s="199">
        <f>IF(ISERROR(I84/G84),"-",I84/G84)</f>
        <v>-0.42062459821257608</v>
      </c>
      <c r="K84" s="208"/>
      <c r="L84" s="197">
        <f>L80-L82</f>
        <v>0</v>
      </c>
      <c r="M84" s="198">
        <f>M80-M82</f>
        <v>0</v>
      </c>
      <c r="N84" s="198">
        <f>N80+N82</f>
        <v>0</v>
      </c>
      <c r="O84" s="199" t="str">
        <f>IF(ISERROR(N84/L84),"-",N84/L84)</f>
        <v>-</v>
      </c>
      <c r="P84" s="208"/>
      <c r="Q84" s="197">
        <f>Q80-Q82</f>
        <v>0</v>
      </c>
      <c r="R84" s="198">
        <f>R80-R82</f>
        <v>0</v>
      </c>
      <c r="S84" s="198">
        <f>S80+S82</f>
        <v>0</v>
      </c>
      <c r="T84" s="199" t="str">
        <f>IF(ISERROR(S84/Q84),"-",S84/Q84)</f>
        <v>-</v>
      </c>
      <c r="U84" s="208"/>
      <c r="V84" s="244">
        <f>V80-V82</f>
        <v>-986886.91000000155</v>
      </c>
      <c r="W84" s="245">
        <f>W80-W82</f>
        <v>-786569.99000000022</v>
      </c>
      <c r="X84" s="245">
        <f>X80+X82</f>
        <v>200316.92000000126</v>
      </c>
      <c r="Y84" s="246">
        <f>IF(ISERROR(X84/V84),"-",X84/V84)</f>
        <v>-0.20297859660536074</v>
      </c>
      <c r="Z84" s="208"/>
      <c r="AA84" s="244">
        <f>AA80-AA82</f>
        <v>-1973773.8200000031</v>
      </c>
      <c r="AB84" s="245">
        <f>AA84-W84</f>
        <v>-1187203.8300000029</v>
      </c>
      <c r="AC84" s="246">
        <f>IF(ISERROR(AB84/AA84),"-",AB84/AA84)</f>
        <v>0.60148929830268039</v>
      </c>
      <c r="AD84" s="167"/>
      <c r="AE84" s="96"/>
    </row>
    <row r="89" spans="1:31" x14ac:dyDescent="0.25">
      <c r="B89" s="591"/>
    </row>
  </sheetData>
  <mergeCells count="19">
    <mergeCell ref="A7:H7"/>
    <mergeCell ref="A1:H1"/>
    <mergeCell ref="A3:H3"/>
    <mergeCell ref="A4:H4"/>
    <mergeCell ref="A5:H5"/>
    <mergeCell ref="A6:H6"/>
    <mergeCell ref="Q9:T9"/>
    <mergeCell ref="V9:Y9"/>
    <mergeCell ref="AA9:AC9"/>
    <mergeCell ref="AE9:AE11"/>
    <mergeCell ref="D10:E10"/>
    <mergeCell ref="I10:J10"/>
    <mergeCell ref="N10:O10"/>
    <mergeCell ref="S10:T10"/>
    <mergeCell ref="X10:Y10"/>
    <mergeCell ref="AB10:AC10"/>
    <mergeCell ref="B9:E9"/>
    <mergeCell ref="G9:J9"/>
    <mergeCell ref="L9:O9"/>
  </mergeCells>
  <pageMargins left="0.7" right="0.7" top="0.75" bottom="0.75" header="0.3" footer="0.3"/>
  <pageSetup scale="51" fitToWidth="0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HW77"/>
  <sheetViews>
    <sheetView topLeftCell="O6" zoomScale="80" zoomScaleNormal="80" workbookViewId="0">
      <selection activeCell="A6" sqref="A6:F6"/>
    </sheetView>
  </sheetViews>
  <sheetFormatPr defaultColWidth="8.85546875" defaultRowHeight="15.75" customHeight="1" x14ac:dyDescent="0.25"/>
  <cols>
    <col min="1" max="1" width="64.42578125" style="8" customWidth="1"/>
    <col min="2" max="2" width="16.42578125" style="8" customWidth="1"/>
    <col min="3" max="3" width="16.85546875" style="8" customWidth="1"/>
    <col min="4" max="4" width="18.140625" style="8" customWidth="1"/>
    <col min="5" max="5" width="17" style="8" customWidth="1"/>
    <col min="6" max="6" width="17.42578125" style="8" customWidth="1"/>
    <col min="7" max="231" width="8.85546875" style="8" customWidth="1"/>
    <col min="232" max="16384" width="8.85546875" style="2"/>
  </cols>
  <sheetData>
    <row r="1" spans="1:231" ht="18.75" customHeight="1" x14ac:dyDescent="0.25">
      <c r="A1" s="862" t="s">
        <v>0</v>
      </c>
      <c r="B1" s="879"/>
      <c r="C1" s="879"/>
      <c r="D1" s="879"/>
      <c r="E1" s="879"/>
      <c r="F1" s="879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</row>
    <row r="2" spans="1:231" ht="18.75" customHeight="1" x14ac:dyDescent="0.25">
      <c r="A2" s="3"/>
      <c r="B2" s="4"/>
      <c r="C2" s="4"/>
      <c r="D2" s="4"/>
      <c r="E2" s="4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</row>
    <row r="3" spans="1:231" s="9" customFormat="1" ht="18.75" customHeight="1" x14ac:dyDescent="0.3">
      <c r="A3" s="858" t="s">
        <v>166</v>
      </c>
      <c r="B3" s="859"/>
      <c r="C3" s="859"/>
      <c r="D3" s="859"/>
      <c r="E3" s="859"/>
      <c r="F3" s="859"/>
    </row>
    <row r="4" spans="1:231" ht="18.75" customHeight="1" x14ac:dyDescent="0.3">
      <c r="A4" s="880" t="s">
        <v>84</v>
      </c>
      <c r="B4" s="860"/>
      <c r="C4" s="860"/>
      <c r="D4" s="860"/>
      <c r="E4" s="860"/>
      <c r="F4" s="86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</row>
    <row r="5" spans="1:231" ht="18.75" customHeight="1" x14ac:dyDescent="0.3">
      <c r="A5" s="880" t="s">
        <v>85</v>
      </c>
      <c r="B5" s="881"/>
      <c r="C5" s="881"/>
      <c r="D5" s="881"/>
      <c r="E5" s="881"/>
      <c r="F5" s="88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</row>
    <row r="6" spans="1:231" ht="18.75" customHeight="1" x14ac:dyDescent="0.3">
      <c r="A6" s="858" t="s">
        <v>87</v>
      </c>
      <c r="B6" s="882"/>
      <c r="C6" s="882"/>
      <c r="D6" s="882"/>
      <c r="E6" s="882"/>
      <c r="F6" s="88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</row>
    <row r="7" spans="1:231" ht="18.75" customHeight="1" x14ac:dyDescent="0.3">
      <c r="A7" s="858" t="s">
        <v>5</v>
      </c>
      <c r="B7" s="859"/>
      <c r="C7" s="859"/>
      <c r="D7" s="859"/>
      <c r="E7" s="859"/>
      <c r="F7" s="859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</row>
    <row r="8" spans="1:231" ht="16.5" customHeight="1" thickBot="1" x14ac:dyDescent="0.3">
      <c r="A8" s="6"/>
      <c r="B8" s="34"/>
      <c r="C8" s="7"/>
      <c r="D8" s="34"/>
      <c r="E8" s="7"/>
      <c r="F8" s="3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</row>
    <row r="9" spans="1:231" ht="17.45" customHeight="1" x14ac:dyDescent="0.25">
      <c r="A9" s="17"/>
      <c r="B9" s="35" t="s">
        <v>162</v>
      </c>
      <c r="C9" s="49" t="s">
        <v>163</v>
      </c>
      <c r="D9" s="35" t="s">
        <v>98</v>
      </c>
      <c r="E9" s="49" t="s">
        <v>164</v>
      </c>
      <c r="F9" s="35" t="s">
        <v>165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</row>
    <row r="10" spans="1:231" ht="15" customHeight="1" x14ac:dyDescent="0.25">
      <c r="A10" s="18"/>
      <c r="B10" s="36">
        <v>43831</v>
      </c>
      <c r="C10" s="50">
        <v>43921</v>
      </c>
      <c r="D10" s="36">
        <v>44012</v>
      </c>
      <c r="E10" s="50">
        <v>44104</v>
      </c>
      <c r="F10" s="61">
        <v>44196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</row>
    <row r="11" spans="1:231" ht="15" customHeight="1" thickBot="1" x14ac:dyDescent="0.3">
      <c r="A11" s="19"/>
      <c r="B11" s="37" t="s">
        <v>19</v>
      </c>
      <c r="C11" s="51" t="s">
        <v>19</v>
      </c>
      <c r="D11" s="37" t="s">
        <v>19</v>
      </c>
      <c r="E11" s="51" t="s">
        <v>19</v>
      </c>
      <c r="F11" s="37" t="s">
        <v>19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</row>
    <row r="12" spans="1:231" ht="15" customHeight="1" x14ac:dyDescent="0.25">
      <c r="A12" s="20" t="s">
        <v>99</v>
      </c>
      <c r="B12" s="38"/>
      <c r="C12" s="52"/>
      <c r="D12" s="38"/>
      <c r="E12" s="52"/>
      <c r="F12" s="38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</row>
    <row r="13" spans="1:231" ht="15" customHeight="1" x14ac:dyDescent="0.25">
      <c r="A13" s="21" t="s">
        <v>100</v>
      </c>
      <c r="B13" s="39"/>
      <c r="C13" s="12"/>
      <c r="D13" s="39"/>
      <c r="E13" s="12"/>
      <c r="F13" s="39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</row>
    <row r="14" spans="1:231" ht="15" customHeight="1" x14ac:dyDescent="0.25">
      <c r="A14" s="10" t="s">
        <v>101</v>
      </c>
      <c r="B14" s="39">
        <v>4739397.1399999997</v>
      </c>
      <c r="C14" s="12">
        <v>4539312.51</v>
      </c>
      <c r="D14" s="39">
        <v>3926191.08</v>
      </c>
      <c r="E14" s="12">
        <v>0</v>
      </c>
      <c r="F14" s="39"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</row>
    <row r="15" spans="1:231" ht="15" customHeight="1" x14ac:dyDescent="0.25">
      <c r="A15" s="11" t="s">
        <v>102</v>
      </c>
      <c r="B15" s="39">
        <v>71950.97</v>
      </c>
      <c r="C15" s="12">
        <v>98377.31</v>
      </c>
      <c r="D15" s="39">
        <v>483643.21</v>
      </c>
      <c r="E15" s="12">
        <v>0</v>
      </c>
      <c r="F15" s="39"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</row>
    <row r="16" spans="1:231" ht="15" customHeight="1" x14ac:dyDescent="0.25">
      <c r="A16" s="11" t="s">
        <v>103</v>
      </c>
      <c r="B16" s="39">
        <v>0</v>
      </c>
      <c r="C16" s="12">
        <v>0</v>
      </c>
      <c r="D16" s="39">
        <v>0</v>
      </c>
      <c r="E16" s="12">
        <v>0</v>
      </c>
      <c r="F16" s="39"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</row>
    <row r="17" spans="1:231" ht="15" customHeight="1" x14ac:dyDescent="0.25">
      <c r="A17" s="11" t="s">
        <v>104</v>
      </c>
      <c r="B17" s="39">
        <v>0</v>
      </c>
      <c r="C17" s="12">
        <v>0</v>
      </c>
      <c r="D17" s="39">
        <v>0</v>
      </c>
      <c r="E17" s="12">
        <v>0</v>
      </c>
      <c r="F17" s="39"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</row>
    <row r="18" spans="1:231" ht="15" customHeight="1" x14ac:dyDescent="0.25">
      <c r="A18" s="11" t="s">
        <v>105</v>
      </c>
      <c r="B18" s="39">
        <v>4554611.04</v>
      </c>
      <c r="C18" s="12">
        <v>4554611.04</v>
      </c>
      <c r="D18" s="39">
        <v>4514285.32</v>
      </c>
      <c r="E18" s="12">
        <v>0</v>
      </c>
      <c r="F18" s="39"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</row>
    <row r="19" spans="1:231" ht="15" customHeight="1" x14ac:dyDescent="0.25">
      <c r="A19" s="22" t="s">
        <v>106</v>
      </c>
      <c r="B19" s="40">
        <v>0</v>
      </c>
      <c r="C19" s="53">
        <v>0</v>
      </c>
      <c r="D19" s="40">
        <v>0</v>
      </c>
      <c r="E19" s="53">
        <v>0</v>
      </c>
      <c r="F19" s="40"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</row>
    <row r="20" spans="1:231" ht="15" customHeight="1" x14ac:dyDescent="0.25">
      <c r="A20" s="23" t="s">
        <v>107</v>
      </c>
      <c r="B20" s="41">
        <f>SUM(B14:B19)</f>
        <v>9365959.1499999985</v>
      </c>
      <c r="C20" s="54">
        <f>SUM(C14:C19)</f>
        <v>9192300.8599999994</v>
      </c>
      <c r="D20" s="41">
        <f>SUM(D14:D19)</f>
        <v>8924119.6099999994</v>
      </c>
      <c r="E20" s="54">
        <f>SUM(E14:E19)</f>
        <v>0</v>
      </c>
      <c r="F20" s="41">
        <f>SUM(F14:F19)</f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</row>
    <row r="21" spans="1:231" ht="15" customHeight="1" x14ac:dyDescent="0.25">
      <c r="A21" s="24"/>
      <c r="B21" s="42"/>
      <c r="C21" s="55"/>
      <c r="D21" s="42"/>
      <c r="E21" s="55"/>
      <c r="F21" s="4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</row>
    <row r="22" spans="1:231" ht="15" customHeight="1" x14ac:dyDescent="0.25">
      <c r="A22" s="25" t="s">
        <v>108</v>
      </c>
      <c r="B22" s="39"/>
      <c r="C22" s="12"/>
      <c r="D22" s="39"/>
      <c r="E22" s="12"/>
      <c r="F22" s="39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</row>
    <row r="23" spans="1:231" ht="15" customHeight="1" x14ac:dyDescent="0.25">
      <c r="A23" s="11" t="s">
        <v>109</v>
      </c>
      <c r="B23" s="39">
        <v>0</v>
      </c>
      <c r="C23" s="12">
        <v>0</v>
      </c>
      <c r="D23" s="39">
        <v>0</v>
      </c>
      <c r="E23" s="12">
        <v>0</v>
      </c>
      <c r="F23" s="39">
        <v>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</row>
    <row r="24" spans="1:231" ht="15" customHeight="1" x14ac:dyDescent="0.25">
      <c r="A24" s="11" t="s">
        <v>110</v>
      </c>
      <c r="B24" s="39">
        <v>0</v>
      </c>
      <c r="C24" s="12">
        <v>0</v>
      </c>
      <c r="D24" s="39">
        <v>0</v>
      </c>
      <c r="E24" s="12">
        <v>0</v>
      </c>
      <c r="F24" s="39">
        <v>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</row>
    <row r="25" spans="1:231" ht="15" customHeight="1" x14ac:dyDescent="0.25">
      <c r="A25" s="11" t="s">
        <v>111</v>
      </c>
      <c r="B25" s="39">
        <v>0</v>
      </c>
      <c r="C25" s="12">
        <v>0</v>
      </c>
      <c r="D25" s="39">
        <v>0</v>
      </c>
      <c r="E25" s="12">
        <v>0</v>
      </c>
      <c r="F25" s="39"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</row>
    <row r="26" spans="1:231" ht="15" customHeight="1" x14ac:dyDescent="0.25">
      <c r="A26" s="11" t="s">
        <v>112</v>
      </c>
      <c r="B26" s="39">
        <v>12121850.02</v>
      </c>
      <c r="C26" s="12">
        <v>12121850.02</v>
      </c>
      <c r="D26" s="39">
        <v>12121850.02</v>
      </c>
      <c r="E26" s="12">
        <v>0</v>
      </c>
      <c r="F26" s="39">
        <v>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</row>
    <row r="27" spans="1:231" ht="15" customHeight="1" x14ac:dyDescent="0.25">
      <c r="A27" s="11" t="s">
        <v>167</v>
      </c>
      <c r="B27" s="39">
        <v>5550809.4699999997</v>
      </c>
      <c r="C27" s="12">
        <v>5675395.2400000002</v>
      </c>
      <c r="D27" s="39">
        <v>6109940.4500000002</v>
      </c>
      <c r="E27" s="12"/>
      <c r="F27" s="39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</row>
    <row r="28" spans="1:231" ht="15" customHeight="1" x14ac:dyDescent="0.25">
      <c r="A28" s="11" t="s">
        <v>168</v>
      </c>
      <c r="B28" s="39">
        <v>14662324.699999999</v>
      </c>
      <c r="C28" s="12">
        <v>14186508.539999999</v>
      </c>
      <c r="D28" s="39">
        <v>13710692.380000001</v>
      </c>
      <c r="E28" s="12"/>
      <c r="F28" s="39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</row>
    <row r="29" spans="1:231" ht="15" customHeight="1" x14ac:dyDescent="0.25">
      <c r="A29" s="22" t="s">
        <v>115</v>
      </c>
      <c r="B29" s="40">
        <v>0</v>
      </c>
      <c r="C29" s="53">
        <v>0</v>
      </c>
      <c r="D29" s="40">
        <v>0</v>
      </c>
      <c r="E29" s="53">
        <v>0</v>
      </c>
      <c r="F29" s="40"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</row>
    <row r="30" spans="1:231" ht="15" customHeight="1" x14ac:dyDescent="0.25">
      <c r="A30" s="23" t="s">
        <v>116</v>
      </c>
      <c r="B30" s="41">
        <f>SUM(B23:B29)</f>
        <v>32334984.189999998</v>
      </c>
      <c r="C30" s="54">
        <f>SUM(C23:C29)</f>
        <v>31983753.799999997</v>
      </c>
      <c r="D30" s="41">
        <f>SUM(D23:D29)</f>
        <v>31942482.850000001</v>
      </c>
      <c r="E30" s="54">
        <f>SUM(E23:E29)</f>
        <v>0</v>
      </c>
      <c r="F30" s="41">
        <f>SUM(F23:F29)</f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</row>
    <row r="31" spans="1:231" ht="15" customHeight="1" x14ac:dyDescent="0.25">
      <c r="A31" s="24"/>
      <c r="B31" s="42"/>
      <c r="C31" s="55"/>
      <c r="D31" s="42"/>
      <c r="E31" s="55"/>
      <c r="F31" s="4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</row>
    <row r="32" spans="1:231" ht="15" customHeight="1" x14ac:dyDescent="0.25">
      <c r="A32" s="25" t="s">
        <v>117</v>
      </c>
      <c r="B32" s="43"/>
      <c r="C32" s="15"/>
      <c r="D32" s="43"/>
      <c r="E32" s="15"/>
      <c r="F32" s="4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</row>
    <row r="33" spans="1:231" ht="15" customHeight="1" x14ac:dyDescent="0.25">
      <c r="A33" s="13" t="s">
        <v>118</v>
      </c>
      <c r="B33" s="43">
        <v>0</v>
      </c>
      <c r="C33" s="15">
        <v>0</v>
      </c>
      <c r="D33" s="43">
        <v>0</v>
      </c>
      <c r="E33" s="15">
        <v>0</v>
      </c>
      <c r="F33" s="43"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</row>
    <row r="34" spans="1:231" ht="15" customHeight="1" x14ac:dyDescent="0.25">
      <c r="A34" s="13" t="s">
        <v>119</v>
      </c>
      <c r="B34" s="43">
        <v>18869.2</v>
      </c>
      <c r="C34" s="15">
        <v>18869.2</v>
      </c>
      <c r="D34" s="43">
        <v>18869.2</v>
      </c>
      <c r="E34" s="15">
        <v>0</v>
      </c>
      <c r="F34" s="43">
        <v>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</row>
    <row r="35" spans="1:231" ht="15" customHeight="1" x14ac:dyDescent="0.25">
      <c r="A35" s="13" t="s">
        <v>120</v>
      </c>
      <c r="B35" s="43">
        <v>7163.260000000002</v>
      </c>
      <c r="C35" s="15">
        <v>9045</v>
      </c>
      <c r="D35" s="43">
        <v>17176.230000000003</v>
      </c>
      <c r="E35" s="15">
        <v>0</v>
      </c>
      <c r="F35" s="43">
        <v>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</row>
    <row r="36" spans="1:231" ht="15" customHeight="1" x14ac:dyDescent="0.25">
      <c r="A36" s="13" t="s">
        <v>121</v>
      </c>
      <c r="B36" s="43">
        <v>0</v>
      </c>
      <c r="C36" s="15">
        <v>0</v>
      </c>
      <c r="D36" s="43">
        <v>0</v>
      </c>
      <c r="E36" s="15">
        <v>0</v>
      </c>
      <c r="F36" s="43">
        <v>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</row>
    <row r="37" spans="1:231" ht="15" customHeight="1" x14ac:dyDescent="0.25">
      <c r="A37" s="13" t="s">
        <v>122</v>
      </c>
      <c r="B37" s="43">
        <v>0</v>
      </c>
      <c r="C37" s="15">
        <v>0</v>
      </c>
      <c r="D37" s="43">
        <v>0</v>
      </c>
      <c r="E37" s="15">
        <v>0</v>
      </c>
      <c r="F37" s="43"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</row>
    <row r="38" spans="1:231" ht="15" customHeight="1" x14ac:dyDescent="0.25">
      <c r="A38" s="14" t="s">
        <v>169</v>
      </c>
      <c r="B38" s="44">
        <v>0</v>
      </c>
      <c r="C38" s="56">
        <v>0</v>
      </c>
      <c r="D38" s="44">
        <v>0</v>
      </c>
      <c r="E38" s="56">
        <v>0</v>
      </c>
      <c r="F38" s="44"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</row>
    <row r="39" spans="1:231" ht="15" customHeight="1" x14ac:dyDescent="0.25">
      <c r="A39" s="23" t="s">
        <v>124</v>
      </c>
      <c r="B39" s="41">
        <f>SUM(B32:B38)</f>
        <v>26032.460000000003</v>
      </c>
      <c r="C39" s="54">
        <f>SUM(C32:C38)</f>
        <v>27914.2</v>
      </c>
      <c r="D39" s="41">
        <f>SUM(D32:D38)</f>
        <v>36045.430000000008</v>
      </c>
      <c r="E39" s="54">
        <f>SUM(E32:E38)</f>
        <v>0</v>
      </c>
      <c r="F39" s="41">
        <f>SUM(F32:F38)</f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</row>
    <row r="40" spans="1:231" ht="15" customHeight="1" x14ac:dyDescent="0.25">
      <c r="A40" s="26"/>
      <c r="B40" s="45"/>
      <c r="C40" s="57"/>
      <c r="D40" s="45"/>
      <c r="E40" s="57"/>
      <c r="F40" s="45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</row>
    <row r="41" spans="1:231" ht="15" customHeight="1" x14ac:dyDescent="0.25">
      <c r="A41" s="21" t="s">
        <v>125</v>
      </c>
      <c r="B41" s="39">
        <v>63846.729999999996</v>
      </c>
      <c r="C41" s="12">
        <v>77319.840000000011</v>
      </c>
      <c r="D41" s="39">
        <v>77319.840000000011</v>
      </c>
      <c r="E41" s="12">
        <v>0</v>
      </c>
      <c r="F41" s="39"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</row>
    <row r="42" spans="1:231" ht="15" customHeight="1" x14ac:dyDescent="0.25">
      <c r="A42" s="27"/>
      <c r="B42" s="44"/>
      <c r="C42" s="56"/>
      <c r="D42" s="44"/>
      <c r="E42" s="56"/>
      <c r="F42" s="4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</row>
    <row r="43" spans="1:231" ht="15" customHeight="1" x14ac:dyDescent="0.25">
      <c r="A43" s="23" t="s">
        <v>126</v>
      </c>
      <c r="B43" s="41">
        <f>B20+B30+B39+B41</f>
        <v>41790822.529999994</v>
      </c>
      <c r="C43" s="54">
        <f>C20+C30+C39+C41</f>
        <v>41281288.700000003</v>
      </c>
      <c r="D43" s="41">
        <f>D20+D30+D39+D41</f>
        <v>40979967.730000004</v>
      </c>
      <c r="E43" s="54">
        <f>E20+E30+E39+E41</f>
        <v>0</v>
      </c>
      <c r="F43" s="41">
        <f>F20+F30+F39+F41</f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</row>
    <row r="44" spans="1:231" ht="15" customHeight="1" x14ac:dyDescent="0.25">
      <c r="A44" s="28"/>
      <c r="B44" s="46"/>
      <c r="C44" s="58"/>
      <c r="D44" s="46"/>
      <c r="E44" s="58"/>
      <c r="F44" s="46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</row>
    <row r="45" spans="1:231" ht="15" customHeight="1" x14ac:dyDescent="0.25">
      <c r="A45" s="21" t="s">
        <v>127</v>
      </c>
      <c r="B45" s="43"/>
      <c r="C45" s="15"/>
      <c r="D45" s="43"/>
      <c r="E45" s="15"/>
      <c r="F45" s="4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</row>
    <row r="46" spans="1:231" ht="15" customHeight="1" x14ac:dyDescent="0.25">
      <c r="A46" s="29"/>
      <c r="B46" s="43"/>
      <c r="C46" s="15"/>
      <c r="D46" s="43"/>
      <c r="E46" s="15"/>
      <c r="F46" s="4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</row>
    <row r="47" spans="1:231" ht="15" customHeight="1" x14ac:dyDescent="0.25">
      <c r="A47" s="21" t="s">
        <v>128</v>
      </c>
      <c r="B47" s="39"/>
      <c r="C47" s="12"/>
      <c r="D47" s="39"/>
      <c r="E47" s="12"/>
      <c r="F47" s="39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</row>
    <row r="48" spans="1:231" ht="15" customHeight="1" x14ac:dyDescent="0.25">
      <c r="A48" s="13" t="s">
        <v>129</v>
      </c>
      <c r="B48" s="43">
        <v>214656.98</v>
      </c>
      <c r="C48" s="15">
        <v>214656.98</v>
      </c>
      <c r="D48" s="43">
        <v>214656.98</v>
      </c>
      <c r="E48" s="15">
        <v>0</v>
      </c>
      <c r="F48" s="43">
        <v>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</row>
    <row r="49" spans="1:231" ht="15" customHeight="1" x14ac:dyDescent="0.25">
      <c r="A49" s="16" t="s">
        <v>130</v>
      </c>
      <c r="B49" s="43">
        <v>0</v>
      </c>
      <c r="C49" s="15">
        <v>0</v>
      </c>
      <c r="D49" s="43">
        <v>0</v>
      </c>
      <c r="E49" s="15">
        <v>0</v>
      </c>
      <c r="F49" s="43">
        <v>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</row>
    <row r="50" spans="1:231" ht="15" customHeight="1" x14ac:dyDescent="0.25">
      <c r="A50" s="16" t="s">
        <v>131</v>
      </c>
      <c r="B50" s="43">
        <v>549.08000000000004</v>
      </c>
      <c r="C50" s="15">
        <v>559.08000000000004</v>
      </c>
      <c r="D50" s="43">
        <v>549.08000000000004</v>
      </c>
      <c r="E50" s="15">
        <v>0</v>
      </c>
      <c r="F50" s="43">
        <v>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</row>
    <row r="51" spans="1:231" ht="15" customHeight="1" x14ac:dyDescent="0.25">
      <c r="A51" s="16" t="s">
        <v>132</v>
      </c>
      <c r="B51" s="43">
        <v>400737.28000000003</v>
      </c>
      <c r="C51" s="15">
        <v>400737.28000000003</v>
      </c>
      <c r="D51" s="43">
        <v>400737.28000000003</v>
      </c>
      <c r="E51" s="15">
        <v>0</v>
      </c>
      <c r="F51" s="43">
        <v>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</row>
    <row r="52" spans="1:231" ht="15" customHeight="1" x14ac:dyDescent="0.25">
      <c r="A52" s="16" t="s">
        <v>133</v>
      </c>
      <c r="B52" s="43">
        <v>59265.26</v>
      </c>
      <c r="C52" s="15">
        <v>59265.26</v>
      </c>
      <c r="D52" s="43">
        <v>59265.26</v>
      </c>
      <c r="E52" s="15">
        <v>0</v>
      </c>
      <c r="F52" s="43">
        <v>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</row>
    <row r="53" spans="1:231" ht="15" customHeight="1" x14ac:dyDescent="0.25">
      <c r="A53" s="16" t="s">
        <v>134</v>
      </c>
      <c r="B53" s="43">
        <v>7.68</v>
      </c>
      <c r="C53" s="15">
        <v>7.68</v>
      </c>
      <c r="D53" s="43">
        <v>7.68</v>
      </c>
      <c r="E53" s="15">
        <v>0</v>
      </c>
      <c r="F53" s="43">
        <v>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</row>
    <row r="54" spans="1:231" ht="15" customHeight="1" x14ac:dyDescent="0.25">
      <c r="A54" s="13" t="s">
        <v>135</v>
      </c>
      <c r="B54" s="43">
        <v>0</v>
      </c>
      <c r="C54" s="15">
        <v>0</v>
      </c>
      <c r="D54" s="43">
        <v>0</v>
      </c>
      <c r="E54" s="15">
        <v>0</v>
      </c>
      <c r="F54" s="43">
        <v>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</row>
    <row r="55" spans="1:231" ht="15" customHeight="1" x14ac:dyDescent="0.25">
      <c r="A55" s="13" t="s">
        <v>136</v>
      </c>
      <c r="B55" s="43">
        <v>0</v>
      </c>
      <c r="C55" s="15">
        <v>0</v>
      </c>
      <c r="D55" s="43">
        <v>0</v>
      </c>
      <c r="E55" s="15">
        <v>0</v>
      </c>
      <c r="F55" s="43">
        <v>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</row>
    <row r="56" spans="1:231" ht="15" customHeight="1" x14ac:dyDescent="0.25">
      <c r="A56" s="14" t="s">
        <v>137</v>
      </c>
      <c r="B56" s="44">
        <v>0</v>
      </c>
      <c r="C56" s="56">
        <v>0</v>
      </c>
      <c r="D56" s="44">
        <v>0</v>
      </c>
      <c r="E56" s="56">
        <v>0</v>
      </c>
      <c r="F56" s="44">
        <v>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</row>
    <row r="57" spans="1:231" ht="15" customHeight="1" x14ac:dyDescent="0.25">
      <c r="A57" s="23" t="s">
        <v>138</v>
      </c>
      <c r="B57" s="41">
        <f>SUM(B48:B56)</f>
        <v>675216.28000000014</v>
      </c>
      <c r="C57" s="54">
        <f>SUM(C48:C56)</f>
        <v>675226.28000000014</v>
      </c>
      <c r="D57" s="41">
        <f>SUM(D48:D56)</f>
        <v>675216.28000000014</v>
      </c>
      <c r="E57" s="54">
        <f>SUM(E48:E56)</f>
        <v>0</v>
      </c>
      <c r="F57" s="41">
        <f>SUM(F48:F56)</f>
        <v>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</row>
    <row r="58" spans="1:231" ht="15" customHeight="1" x14ac:dyDescent="0.25">
      <c r="A58" s="30"/>
      <c r="B58" s="42"/>
      <c r="C58" s="55"/>
      <c r="D58" s="42"/>
      <c r="E58" s="55"/>
      <c r="F58" s="4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</row>
    <row r="59" spans="1:231" ht="15" customHeight="1" x14ac:dyDescent="0.25">
      <c r="A59" s="21" t="s">
        <v>139</v>
      </c>
      <c r="B59" s="43"/>
      <c r="C59" s="15"/>
      <c r="D59" s="43"/>
      <c r="E59" s="15"/>
      <c r="F59" s="4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</row>
    <row r="60" spans="1:231" ht="15" customHeight="1" x14ac:dyDescent="0.25">
      <c r="A60" s="13" t="s">
        <v>170</v>
      </c>
      <c r="B60" s="43">
        <v>0</v>
      </c>
      <c r="C60" s="15">
        <v>0</v>
      </c>
      <c r="D60" s="43">
        <v>0</v>
      </c>
      <c r="E60" s="15">
        <v>0</v>
      </c>
      <c r="F60" s="43">
        <v>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</row>
    <row r="61" spans="1:231" ht="15" customHeight="1" x14ac:dyDescent="0.25">
      <c r="A61" s="13" t="s">
        <v>44</v>
      </c>
      <c r="B61" s="43">
        <v>0</v>
      </c>
      <c r="C61" s="15">
        <v>0</v>
      </c>
      <c r="D61" s="43">
        <v>0</v>
      </c>
      <c r="E61" s="15"/>
      <c r="F61" s="4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</row>
    <row r="62" spans="1:231" ht="15" customHeight="1" x14ac:dyDescent="0.25">
      <c r="A62" s="31"/>
      <c r="B62" s="44"/>
      <c r="C62" s="56"/>
      <c r="D62" s="44"/>
      <c r="E62" s="56"/>
      <c r="F62" s="4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</row>
    <row r="63" spans="1:231" ht="15" customHeight="1" x14ac:dyDescent="0.25">
      <c r="A63" s="23" t="s">
        <v>142</v>
      </c>
      <c r="B63" s="41">
        <f>SUM(B60:B62)</f>
        <v>0</v>
      </c>
      <c r="C63" s="54">
        <f>SUM(C60:C62)</f>
        <v>0</v>
      </c>
      <c r="D63" s="41">
        <f>SUM(D60:D62)</f>
        <v>0</v>
      </c>
      <c r="E63" s="54">
        <f>SUM(E60:E62)</f>
        <v>0</v>
      </c>
      <c r="F63" s="41">
        <f>SUM(F60:F62)</f>
        <v>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</row>
    <row r="64" spans="1:231" ht="15" customHeight="1" x14ac:dyDescent="0.25">
      <c r="A64" s="30"/>
      <c r="B64" s="42"/>
      <c r="C64" s="55"/>
      <c r="D64" s="42"/>
      <c r="E64" s="55"/>
      <c r="F64" s="4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</row>
    <row r="65" spans="1:231" ht="15" customHeight="1" x14ac:dyDescent="0.25">
      <c r="A65" s="21" t="s">
        <v>143</v>
      </c>
      <c r="B65" s="43"/>
      <c r="C65" s="15"/>
      <c r="D65" s="43"/>
      <c r="E65" s="15"/>
      <c r="F65" s="4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</row>
    <row r="66" spans="1:231" ht="15" customHeight="1" x14ac:dyDescent="0.25">
      <c r="A66" s="13" t="s">
        <v>144</v>
      </c>
      <c r="B66" s="43">
        <v>41118394.409999996</v>
      </c>
      <c r="C66" s="15">
        <v>41109531.409999996</v>
      </c>
      <c r="D66" s="43">
        <v>41094065.409999996</v>
      </c>
      <c r="E66" s="15">
        <v>0</v>
      </c>
      <c r="F66" s="43">
        <v>0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</row>
    <row r="67" spans="1:231" ht="15" customHeight="1" x14ac:dyDescent="0.25">
      <c r="A67" s="13" t="s">
        <v>145</v>
      </c>
      <c r="B67" s="43">
        <v>0</v>
      </c>
      <c r="C67" s="15">
        <v>0</v>
      </c>
      <c r="D67" s="43">
        <v>0</v>
      </c>
      <c r="E67" s="15">
        <v>0</v>
      </c>
      <c r="F67" s="43">
        <v>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</row>
    <row r="68" spans="1:231" ht="15" customHeight="1" x14ac:dyDescent="0.25">
      <c r="A68" s="13" t="s">
        <v>146</v>
      </c>
      <c r="B68" s="43">
        <v>-2787.58</v>
      </c>
      <c r="C68" s="15">
        <v>-2787.58</v>
      </c>
      <c r="D68" s="43">
        <v>-2787.58</v>
      </c>
      <c r="E68" s="15">
        <v>0</v>
      </c>
      <c r="F68" s="43">
        <v>0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</row>
    <row r="69" spans="1:231" ht="15" customHeight="1" x14ac:dyDescent="0.25">
      <c r="A69" s="14" t="s">
        <v>147</v>
      </c>
      <c r="B69" s="44">
        <v>0</v>
      </c>
      <c r="C69" s="56">
        <v>-500681.08</v>
      </c>
      <c r="D69" s="44">
        <v>-786526.35</v>
      </c>
      <c r="E69" s="56">
        <v>0</v>
      </c>
      <c r="F69" s="44">
        <v>0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</row>
    <row r="70" spans="1:231" ht="15" customHeight="1" x14ac:dyDescent="0.25">
      <c r="A70" s="23" t="s">
        <v>148</v>
      </c>
      <c r="B70" s="41">
        <f>SUM(B66:B69)</f>
        <v>41115606.829999998</v>
      </c>
      <c r="C70" s="54">
        <f>SUM(C66:C69)</f>
        <v>40606062.75</v>
      </c>
      <c r="D70" s="41">
        <f>SUM(D66:D69)</f>
        <v>40304751.479999997</v>
      </c>
      <c r="E70" s="54">
        <f>SUM(E66:E69)</f>
        <v>0</v>
      </c>
      <c r="F70" s="41">
        <f>SUM(F66:F69)</f>
        <v>0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</row>
    <row r="71" spans="1:231" ht="15.75" customHeight="1" x14ac:dyDescent="0.25">
      <c r="A71" s="32"/>
      <c r="B71" s="47"/>
      <c r="C71" s="59"/>
      <c r="D71" s="47"/>
      <c r="E71" s="59"/>
      <c r="F71" s="47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</row>
    <row r="72" spans="1:231" ht="16.5" customHeight="1" thickBot="1" x14ac:dyDescent="0.3">
      <c r="A72" s="33" t="s">
        <v>149</v>
      </c>
      <c r="B72" s="48">
        <f>B70+B63+B57</f>
        <v>41790823.109999999</v>
      </c>
      <c r="C72" s="60">
        <f>C70+C63+C57</f>
        <v>41281289.030000001</v>
      </c>
      <c r="D72" s="48">
        <f>D70+D63+D57</f>
        <v>40979967.759999998</v>
      </c>
      <c r="E72" s="60">
        <f>E70+E63+E57</f>
        <v>0</v>
      </c>
      <c r="F72" s="48">
        <f>F70+F63+F57</f>
        <v>0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</row>
    <row r="77" spans="1:231" ht="15.75" customHeight="1" x14ac:dyDescent="0.25">
      <c r="B77" s="305"/>
    </row>
  </sheetData>
  <mergeCells count="6">
    <mergeCell ref="A7:F7"/>
    <mergeCell ref="A1:F1"/>
    <mergeCell ref="A3:F3"/>
    <mergeCell ref="A4:F4"/>
    <mergeCell ref="A5:F5"/>
    <mergeCell ref="A6:F6"/>
  </mergeCells>
  <pageMargins left="0.7" right="0.7" top="0.75" bottom="0.75" header="0.3" footer="0.3"/>
  <pageSetup scale="60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85"/>
  <sheetViews>
    <sheetView zoomScale="50" zoomScaleNormal="50" workbookViewId="0">
      <selection activeCell="AE1" sqref="AE1:AE1048576"/>
    </sheetView>
  </sheetViews>
  <sheetFormatPr defaultRowHeight="15" x14ac:dyDescent="0.25"/>
  <cols>
    <col min="1" max="1" width="90.28515625" style="8" customWidth="1"/>
    <col min="2" max="2" width="15.7109375" style="8" customWidth="1"/>
    <col min="3" max="3" width="14.140625" style="8" customWidth="1"/>
    <col min="4" max="4" width="15.7109375" style="8" customWidth="1"/>
    <col min="5" max="5" width="12.7109375" style="8" customWidth="1"/>
    <col min="6" max="6" width="1" style="8" customWidth="1"/>
    <col min="7" max="9" width="15.7109375" style="8" customWidth="1"/>
    <col min="10" max="10" width="10.7109375" style="8" customWidth="1"/>
    <col min="11" max="11" width="1.140625" style="8" customWidth="1"/>
    <col min="12" max="14" width="15.7109375" style="8" hidden="1" customWidth="1"/>
    <col min="15" max="15" width="10.7109375" style="8" hidden="1" customWidth="1"/>
    <col min="16" max="16" width="1" style="8" hidden="1" customWidth="1"/>
    <col min="17" max="17" width="13.85546875" style="8" hidden="1" customWidth="1"/>
    <col min="18" max="18" width="13.140625" style="8" hidden="1" customWidth="1"/>
    <col min="19" max="19" width="12.85546875" style="8" hidden="1" customWidth="1"/>
    <col min="20" max="20" width="7.7109375" style="8" hidden="1" customWidth="1"/>
    <col min="21" max="21" width="1.28515625" style="8" hidden="1" customWidth="1"/>
    <col min="22" max="23" width="17.7109375" style="8" customWidth="1"/>
    <col min="24" max="24" width="15.7109375" style="8" customWidth="1"/>
    <col min="25" max="25" width="10.7109375" style="8" customWidth="1"/>
    <col min="26" max="26" width="1" style="8" customWidth="1"/>
    <col min="27" max="27" width="17.7109375" style="8" customWidth="1"/>
    <col min="28" max="28" width="19.140625" style="8" customWidth="1"/>
    <col min="29" max="29" width="15" style="8" customWidth="1"/>
    <col min="30" max="30" width="1" style="8" customWidth="1"/>
    <col min="31" max="31" width="66.42578125" style="8" hidden="1" customWidth="1"/>
  </cols>
  <sheetData>
    <row r="1" spans="1:31" ht="23.25" x14ac:dyDescent="0.25">
      <c r="A1" s="885" t="s">
        <v>0</v>
      </c>
      <c r="B1" s="886"/>
      <c r="C1" s="886"/>
      <c r="D1" s="886"/>
      <c r="E1" s="886"/>
      <c r="F1" s="886"/>
      <c r="G1" s="886"/>
      <c r="H1" s="886"/>
      <c r="I1" s="589"/>
      <c r="J1" s="589"/>
      <c r="K1" s="590"/>
      <c r="L1" s="590"/>
      <c r="M1" s="590"/>
      <c r="N1" s="590"/>
      <c r="O1" s="590"/>
      <c r="P1" s="586"/>
      <c r="Q1" s="589"/>
      <c r="R1" s="587"/>
      <c r="S1" s="588"/>
      <c r="T1" s="587"/>
      <c r="U1" s="586"/>
      <c r="V1" s="586"/>
      <c r="W1" s="586"/>
      <c r="X1" s="586"/>
      <c r="Y1" s="586"/>
      <c r="Z1" s="586"/>
      <c r="AA1" s="586"/>
      <c r="AB1" s="586"/>
      <c r="AC1" s="586"/>
      <c r="AD1" s="586"/>
      <c r="AE1" s="585"/>
    </row>
    <row r="2" spans="1:31" ht="23.25" x14ac:dyDescent="0.25">
      <c r="A2" s="584"/>
      <c r="B2" s="583"/>
      <c r="C2" s="583"/>
      <c r="D2" s="583"/>
      <c r="E2" s="583"/>
      <c r="F2" s="583"/>
      <c r="G2" s="583"/>
      <c r="H2" s="583"/>
      <c r="I2" s="576"/>
      <c r="J2" s="576"/>
      <c r="K2" s="580"/>
      <c r="L2" s="582"/>
      <c r="M2" s="582"/>
      <c r="N2" s="582"/>
      <c r="O2" s="582"/>
      <c r="P2" s="580"/>
      <c r="Q2" s="576"/>
      <c r="R2" s="581"/>
      <c r="S2" s="573"/>
      <c r="T2" s="581"/>
      <c r="U2" s="580"/>
      <c r="V2" s="555"/>
      <c r="W2" s="555"/>
      <c r="X2" s="555"/>
      <c r="Y2" s="555"/>
      <c r="Z2" s="580"/>
      <c r="AA2" s="555"/>
      <c r="AB2" s="555"/>
      <c r="AC2" s="555"/>
      <c r="AD2" s="580"/>
      <c r="AE2" s="571"/>
    </row>
    <row r="3" spans="1:31" s="100" customFormat="1" ht="23.25" x14ac:dyDescent="0.25">
      <c r="A3" s="883" t="s">
        <v>171</v>
      </c>
      <c r="B3" s="884"/>
      <c r="C3" s="884"/>
      <c r="D3" s="884"/>
      <c r="E3" s="884"/>
      <c r="F3" s="884"/>
      <c r="G3" s="884"/>
      <c r="H3" s="884"/>
      <c r="I3" s="570"/>
      <c r="J3" s="570"/>
      <c r="K3" s="579"/>
      <c r="L3" s="579"/>
      <c r="M3" s="579"/>
      <c r="N3" s="579"/>
      <c r="O3" s="579"/>
      <c r="P3" s="561"/>
      <c r="Q3" s="570"/>
      <c r="R3" s="578"/>
      <c r="S3" s="564"/>
      <c r="T3" s="578"/>
      <c r="U3" s="561"/>
      <c r="V3" s="561"/>
      <c r="W3" s="561"/>
      <c r="X3" s="561"/>
      <c r="Y3" s="561"/>
      <c r="Z3" s="561"/>
      <c r="AA3" s="561"/>
      <c r="AB3" s="561"/>
      <c r="AC3" s="561"/>
      <c r="AD3" s="561"/>
      <c r="AE3" s="560"/>
    </row>
    <row r="4" spans="1:31" ht="23.25" x14ac:dyDescent="0.25">
      <c r="A4" s="887" t="s">
        <v>2</v>
      </c>
      <c r="B4" s="888"/>
      <c r="C4" s="888"/>
      <c r="D4" s="888"/>
      <c r="E4" s="888"/>
      <c r="F4" s="888"/>
      <c r="G4" s="888"/>
      <c r="H4" s="888"/>
      <c r="I4" s="577"/>
      <c r="J4" s="577"/>
      <c r="K4" s="575"/>
      <c r="L4" s="575"/>
      <c r="M4" s="575"/>
      <c r="N4" s="575"/>
      <c r="O4" s="575"/>
      <c r="P4" s="555"/>
      <c r="Q4" s="574"/>
      <c r="R4" s="572"/>
      <c r="S4" s="573"/>
      <c r="T4" s="572"/>
      <c r="U4" s="555"/>
      <c r="V4" s="555"/>
      <c r="W4" s="555"/>
      <c r="X4" s="555"/>
      <c r="Y4" s="555"/>
      <c r="Z4" s="555"/>
      <c r="AA4" s="555"/>
      <c r="AB4" s="556"/>
      <c r="AC4" s="555"/>
      <c r="AD4" s="555"/>
      <c r="AE4" s="571"/>
    </row>
    <row r="5" spans="1:31" ht="23.25" x14ac:dyDescent="0.25">
      <c r="A5" s="887" t="s">
        <v>3</v>
      </c>
      <c r="B5" s="889"/>
      <c r="C5" s="889"/>
      <c r="D5" s="889"/>
      <c r="E5" s="889"/>
      <c r="F5" s="889"/>
      <c r="G5" s="889"/>
      <c r="H5" s="889"/>
      <c r="I5" s="576"/>
      <c r="J5" s="576"/>
      <c r="K5" s="575"/>
      <c r="L5" s="575"/>
      <c r="M5" s="575"/>
      <c r="N5" s="575"/>
      <c r="O5" s="575"/>
      <c r="P5" s="555"/>
      <c r="Q5" s="574"/>
      <c r="R5" s="572"/>
      <c r="S5" s="573"/>
      <c r="T5" s="572"/>
      <c r="U5" s="555"/>
      <c r="V5" s="555"/>
      <c r="W5" s="555"/>
      <c r="X5" s="555"/>
      <c r="Y5" s="555"/>
      <c r="Z5" s="555"/>
      <c r="AA5" s="555"/>
      <c r="AB5" s="556"/>
      <c r="AC5" s="555"/>
      <c r="AD5" s="555"/>
      <c r="AE5" s="571"/>
    </row>
    <row r="6" spans="1:31" s="100" customFormat="1" ht="23.25" x14ac:dyDescent="0.25">
      <c r="A6" s="883" t="s">
        <v>4</v>
      </c>
      <c r="B6" s="890"/>
      <c r="C6" s="890"/>
      <c r="D6" s="890"/>
      <c r="E6" s="890"/>
      <c r="F6" s="890"/>
      <c r="G6" s="890"/>
      <c r="H6" s="890"/>
      <c r="I6" s="570"/>
      <c r="J6" s="570"/>
      <c r="K6" s="566"/>
      <c r="L6" s="566"/>
      <c r="M6" s="566"/>
      <c r="N6" s="566"/>
      <c r="O6" s="566"/>
      <c r="P6" s="561"/>
      <c r="Q6" s="565"/>
      <c r="R6" s="563"/>
      <c r="S6" s="564"/>
      <c r="T6" s="563"/>
      <c r="U6" s="561"/>
      <c r="V6" s="561"/>
      <c r="W6" s="561"/>
      <c r="X6" s="561"/>
      <c r="Y6" s="561"/>
      <c r="Z6" s="561"/>
      <c r="AA6" s="569"/>
      <c r="AB6" s="568"/>
      <c r="AC6" s="561"/>
      <c r="AD6" s="561"/>
      <c r="AE6" s="560"/>
    </row>
    <row r="7" spans="1:31" s="100" customFormat="1" ht="23.25" x14ac:dyDescent="0.25">
      <c r="A7" s="883" t="s">
        <v>5</v>
      </c>
      <c r="B7" s="884"/>
      <c r="C7" s="884"/>
      <c r="D7" s="884"/>
      <c r="E7" s="884"/>
      <c r="F7" s="884"/>
      <c r="G7" s="884"/>
      <c r="H7" s="884"/>
      <c r="I7" s="567"/>
      <c r="J7" s="567"/>
      <c r="K7" s="566"/>
      <c r="L7" s="566"/>
      <c r="M7" s="566"/>
      <c r="N7" s="566"/>
      <c r="O7" s="566"/>
      <c r="P7" s="561"/>
      <c r="Q7" s="565"/>
      <c r="R7" s="563"/>
      <c r="S7" s="564"/>
      <c r="T7" s="563"/>
      <c r="U7" s="561"/>
      <c r="V7" s="561"/>
      <c r="W7" s="561"/>
      <c r="X7" s="561"/>
      <c r="Y7" s="561"/>
      <c r="Z7" s="561"/>
      <c r="AA7" s="561"/>
      <c r="AB7" s="562"/>
      <c r="AC7" s="561"/>
      <c r="AD7" s="561"/>
      <c r="AE7" s="560"/>
    </row>
    <row r="8" spans="1:31" ht="24" thickBot="1" x14ac:dyDescent="0.3">
      <c r="A8" s="559"/>
      <c r="B8" s="558"/>
      <c r="C8" s="555"/>
      <c r="D8" s="555"/>
      <c r="E8" s="555"/>
      <c r="F8" s="554"/>
      <c r="G8" s="555"/>
      <c r="H8" s="555"/>
      <c r="I8" s="555"/>
      <c r="J8" s="555"/>
      <c r="K8" s="554"/>
      <c r="L8" s="555"/>
      <c r="M8" s="555"/>
      <c r="N8" s="555"/>
      <c r="O8" s="555"/>
      <c r="P8" s="554"/>
      <c r="Q8" s="555"/>
      <c r="R8" s="555"/>
      <c r="S8" s="557"/>
      <c r="T8" s="555"/>
      <c r="U8" s="554"/>
      <c r="V8" s="555"/>
      <c r="W8" s="555"/>
      <c r="X8" s="555"/>
      <c r="Y8" s="555"/>
      <c r="Z8" s="554"/>
      <c r="AA8" s="555"/>
      <c r="AB8" s="556"/>
      <c r="AC8" s="555"/>
      <c r="AD8" s="554"/>
      <c r="AE8" s="553"/>
    </row>
    <row r="9" spans="1:31" ht="23.25" x14ac:dyDescent="0.25">
      <c r="A9" s="552"/>
      <c r="B9" s="896" t="s">
        <v>6</v>
      </c>
      <c r="C9" s="897"/>
      <c r="D9" s="897"/>
      <c r="E9" s="898"/>
      <c r="F9" s="551"/>
      <c r="G9" s="896" t="s">
        <v>7</v>
      </c>
      <c r="H9" s="897"/>
      <c r="I9" s="897"/>
      <c r="J9" s="898"/>
      <c r="K9" s="551"/>
      <c r="L9" s="899" t="s">
        <v>8</v>
      </c>
      <c r="M9" s="900"/>
      <c r="N9" s="900"/>
      <c r="O9" s="901"/>
      <c r="P9" s="551"/>
      <c r="Q9" s="896" t="s">
        <v>9</v>
      </c>
      <c r="R9" s="897"/>
      <c r="S9" s="897"/>
      <c r="T9" s="898"/>
      <c r="U9" s="551"/>
      <c r="V9" s="899" t="s">
        <v>10</v>
      </c>
      <c r="W9" s="900"/>
      <c r="X9" s="900"/>
      <c r="Y9" s="901"/>
      <c r="Z9" s="551"/>
      <c r="AA9" s="899" t="s">
        <v>11</v>
      </c>
      <c r="AB9" s="900"/>
      <c r="AC9" s="901"/>
      <c r="AD9" s="550"/>
      <c r="AE9" s="891" t="s">
        <v>12</v>
      </c>
    </row>
    <row r="10" spans="1:31" ht="46.5" x14ac:dyDescent="0.25">
      <c r="A10" s="549" t="s">
        <v>13</v>
      </c>
      <c r="B10" s="548" t="s">
        <v>14</v>
      </c>
      <c r="C10" s="547" t="s">
        <v>15</v>
      </c>
      <c r="D10" s="894" t="s">
        <v>16</v>
      </c>
      <c r="E10" s="895"/>
      <c r="F10" s="546"/>
      <c r="G10" s="548" t="s">
        <v>14</v>
      </c>
      <c r="H10" s="547" t="s">
        <v>15</v>
      </c>
      <c r="I10" s="894" t="s">
        <v>16</v>
      </c>
      <c r="J10" s="895"/>
      <c r="K10" s="546"/>
      <c r="L10" s="548" t="s">
        <v>14</v>
      </c>
      <c r="M10" s="547" t="s">
        <v>15</v>
      </c>
      <c r="N10" s="894" t="s">
        <v>16</v>
      </c>
      <c r="O10" s="895"/>
      <c r="P10" s="546"/>
      <c r="Q10" s="548" t="s">
        <v>14</v>
      </c>
      <c r="R10" s="547" t="s">
        <v>15</v>
      </c>
      <c r="S10" s="894" t="s">
        <v>16</v>
      </c>
      <c r="T10" s="895"/>
      <c r="U10" s="546"/>
      <c r="V10" s="548" t="s">
        <v>14</v>
      </c>
      <c r="W10" s="547" t="s">
        <v>15</v>
      </c>
      <c r="X10" s="894" t="s">
        <v>16</v>
      </c>
      <c r="Y10" s="895"/>
      <c r="Z10" s="546"/>
      <c r="AA10" s="545" t="s">
        <v>17</v>
      </c>
      <c r="AB10" s="894" t="s">
        <v>18</v>
      </c>
      <c r="AC10" s="895"/>
      <c r="AD10" s="544"/>
      <c r="AE10" s="892"/>
    </row>
    <row r="11" spans="1:31" ht="24" thickBot="1" x14ac:dyDescent="0.3">
      <c r="A11" s="543"/>
      <c r="B11" s="542" t="s">
        <v>19</v>
      </c>
      <c r="C11" s="541" t="s">
        <v>19</v>
      </c>
      <c r="D11" s="540" t="s">
        <v>19</v>
      </c>
      <c r="E11" s="539" t="s">
        <v>20</v>
      </c>
      <c r="F11" s="537"/>
      <c r="G11" s="536" t="s">
        <v>19</v>
      </c>
      <c r="H11" s="538" t="s">
        <v>19</v>
      </c>
      <c r="I11" s="535" t="s">
        <v>19</v>
      </c>
      <c r="J11" s="534" t="s">
        <v>20</v>
      </c>
      <c r="K11" s="537"/>
      <c r="L11" s="536" t="s">
        <v>19</v>
      </c>
      <c r="M11" s="538" t="s">
        <v>19</v>
      </c>
      <c r="N11" s="535" t="s">
        <v>19</v>
      </c>
      <c r="O11" s="534" t="s">
        <v>20</v>
      </c>
      <c r="P11" s="537"/>
      <c r="Q11" s="536" t="s">
        <v>19</v>
      </c>
      <c r="R11" s="538" t="s">
        <v>19</v>
      </c>
      <c r="S11" s="535" t="s">
        <v>19</v>
      </c>
      <c r="T11" s="534" t="s">
        <v>20</v>
      </c>
      <c r="U11" s="537"/>
      <c r="V11" s="536" t="s">
        <v>19</v>
      </c>
      <c r="W11" s="538" t="s">
        <v>19</v>
      </c>
      <c r="X11" s="535" t="s">
        <v>19</v>
      </c>
      <c r="Y11" s="534" t="s">
        <v>20</v>
      </c>
      <c r="Z11" s="537"/>
      <c r="AA11" s="536" t="s">
        <v>19</v>
      </c>
      <c r="AB11" s="535" t="s">
        <v>19</v>
      </c>
      <c r="AC11" s="534" t="s">
        <v>20</v>
      </c>
      <c r="AD11" s="533"/>
      <c r="AE11" s="893"/>
    </row>
    <row r="12" spans="1:31" ht="23.25" x14ac:dyDescent="0.25">
      <c r="A12" s="532" t="s">
        <v>21</v>
      </c>
      <c r="B12" s="531"/>
      <c r="C12" s="530"/>
      <c r="D12" s="530"/>
      <c r="E12" s="529"/>
      <c r="F12" s="444"/>
      <c r="G12" s="508"/>
      <c r="H12" s="504"/>
      <c r="I12" s="504"/>
      <c r="J12" s="528"/>
      <c r="K12" s="444"/>
      <c r="L12" s="508"/>
      <c r="M12" s="504"/>
      <c r="N12" s="504"/>
      <c r="O12" s="528"/>
      <c r="P12" s="444"/>
      <c r="Q12" s="508"/>
      <c r="R12" s="504"/>
      <c r="S12" s="504"/>
      <c r="T12" s="528"/>
      <c r="U12" s="444"/>
      <c r="V12" s="508"/>
      <c r="W12" s="504"/>
      <c r="X12" s="504"/>
      <c r="Y12" s="528"/>
      <c r="Z12" s="444"/>
      <c r="AA12" s="508"/>
      <c r="AB12" s="504"/>
      <c r="AC12" s="528"/>
      <c r="AD12" s="440"/>
      <c r="AE12" s="527"/>
    </row>
    <row r="13" spans="1:31" ht="23.25" x14ac:dyDescent="0.25">
      <c r="A13" s="526" t="s">
        <v>151</v>
      </c>
      <c r="B13" s="525">
        <v>18875</v>
      </c>
      <c r="C13" s="524">
        <v>10202</v>
      </c>
      <c r="D13" s="465">
        <f t="shared" ref="D13:D21" si="0">C13-B13</f>
        <v>-8673</v>
      </c>
      <c r="E13" s="408">
        <f>IF(ISERROR(D13/B13),"-",D13/B13)</f>
        <v>-0.45949668874172184</v>
      </c>
      <c r="F13" s="483"/>
      <c r="G13" s="525">
        <v>8241</v>
      </c>
      <c r="H13" s="524">
        <v>3782</v>
      </c>
      <c r="I13" s="465">
        <f t="shared" ref="I13:I21" si="1">H13-G13</f>
        <v>-4459</v>
      </c>
      <c r="J13" s="408">
        <f>IF(ISERROR(I13/G13),"-",I13/G13)</f>
        <v>-0.54107511224365978</v>
      </c>
      <c r="K13" s="483"/>
      <c r="L13" s="525"/>
      <c r="M13" s="524"/>
      <c r="N13" s="465"/>
      <c r="O13" s="408"/>
      <c r="P13" s="483"/>
      <c r="Q13" s="525">
        <v>0</v>
      </c>
      <c r="R13" s="524">
        <v>0</v>
      </c>
      <c r="S13" s="465">
        <f t="shared" ref="S13:S21" si="2">R13-Q13</f>
        <v>0</v>
      </c>
      <c r="T13" s="408" t="str">
        <f t="shared" ref="T13:T21" si="3">IF(ISERROR(S13/Q13),"-",S13/Q13)</f>
        <v>-</v>
      </c>
      <c r="U13" s="483"/>
      <c r="V13" s="466">
        <f t="shared" ref="V13:V21" si="4">B13+G13+L13+Q13</f>
        <v>27116</v>
      </c>
      <c r="W13" s="465">
        <f t="shared" ref="W13:W21" si="5">C13+H13+M13+R13</f>
        <v>13984</v>
      </c>
      <c r="X13" s="465">
        <f t="shared" ref="X13:X21" si="6">W13-V13</f>
        <v>-13132</v>
      </c>
      <c r="Y13" s="408">
        <f>IF(ISERROR(X13/V13),"-",X13/V13)</f>
        <v>-0.48428971824752914</v>
      </c>
      <c r="Z13" s="483"/>
      <c r="AA13" s="466">
        <v>41325</v>
      </c>
      <c r="AB13" s="465">
        <f t="shared" ref="AB13:AB21" si="7">AA13-W13</f>
        <v>27341</v>
      </c>
      <c r="AC13" s="408">
        <f>IF(ISERROR(AB13/AA13),"-",AB13/AA13)</f>
        <v>0.6616091954022989</v>
      </c>
      <c r="AD13" s="482"/>
      <c r="AE13" s="396"/>
    </row>
    <row r="14" spans="1:31" ht="23.25" x14ac:dyDescent="0.25">
      <c r="A14" s="468" t="s">
        <v>27</v>
      </c>
      <c r="B14" s="410">
        <v>0</v>
      </c>
      <c r="C14" s="409">
        <v>0</v>
      </c>
      <c r="D14" s="409">
        <f t="shared" si="0"/>
        <v>0</v>
      </c>
      <c r="E14" s="408">
        <v>0</v>
      </c>
      <c r="F14" s="483"/>
      <c r="G14" s="410">
        <v>0</v>
      </c>
      <c r="H14" s="409">
        <v>0</v>
      </c>
      <c r="I14" s="409">
        <f t="shared" si="1"/>
        <v>0</v>
      </c>
      <c r="J14" s="408">
        <v>0</v>
      </c>
      <c r="K14" s="483"/>
      <c r="L14" s="410"/>
      <c r="M14" s="409"/>
      <c r="N14" s="409"/>
      <c r="O14" s="408"/>
      <c r="P14" s="483"/>
      <c r="Q14" s="525">
        <v>0</v>
      </c>
      <c r="R14" s="524">
        <v>0</v>
      </c>
      <c r="S14" s="465">
        <f t="shared" si="2"/>
        <v>0</v>
      </c>
      <c r="T14" s="523" t="str">
        <f t="shared" si="3"/>
        <v>-</v>
      </c>
      <c r="U14" s="483"/>
      <c r="V14" s="410">
        <f t="shared" si="4"/>
        <v>0</v>
      </c>
      <c r="W14" s="409">
        <f t="shared" si="5"/>
        <v>0</v>
      </c>
      <c r="X14" s="409">
        <f t="shared" si="6"/>
        <v>0</v>
      </c>
      <c r="Y14" s="408">
        <v>0</v>
      </c>
      <c r="Z14" s="470"/>
      <c r="AA14" s="410">
        <v>0</v>
      </c>
      <c r="AB14" s="409">
        <f t="shared" si="7"/>
        <v>0</v>
      </c>
      <c r="AC14" s="408">
        <v>0</v>
      </c>
      <c r="AD14" s="482"/>
      <c r="AE14" s="396"/>
    </row>
    <row r="15" spans="1:31" ht="23.25" x14ac:dyDescent="0.25">
      <c r="A15" s="468" t="s">
        <v>23</v>
      </c>
      <c r="B15" s="410">
        <v>0</v>
      </c>
      <c r="C15" s="409">
        <v>0</v>
      </c>
      <c r="D15" s="409">
        <f t="shared" si="0"/>
        <v>0</v>
      </c>
      <c r="E15" s="408">
        <v>0</v>
      </c>
      <c r="F15" s="460"/>
      <c r="G15" s="410">
        <v>0</v>
      </c>
      <c r="H15" s="409">
        <v>0</v>
      </c>
      <c r="I15" s="409">
        <f t="shared" si="1"/>
        <v>0</v>
      </c>
      <c r="J15" s="408">
        <v>0</v>
      </c>
      <c r="K15" s="460"/>
      <c r="L15" s="410"/>
      <c r="M15" s="409"/>
      <c r="N15" s="409"/>
      <c r="O15" s="408"/>
      <c r="P15" s="460"/>
      <c r="Q15" s="525">
        <v>0</v>
      </c>
      <c r="R15" s="524">
        <v>0</v>
      </c>
      <c r="S15" s="465">
        <f t="shared" si="2"/>
        <v>0</v>
      </c>
      <c r="T15" s="408" t="str">
        <f t="shared" si="3"/>
        <v>-</v>
      </c>
      <c r="U15" s="460"/>
      <c r="V15" s="410">
        <f t="shared" si="4"/>
        <v>0</v>
      </c>
      <c r="W15" s="409">
        <f t="shared" si="5"/>
        <v>0</v>
      </c>
      <c r="X15" s="409">
        <f t="shared" si="6"/>
        <v>0</v>
      </c>
      <c r="Y15" s="408">
        <v>0</v>
      </c>
      <c r="Z15" s="470"/>
      <c r="AA15" s="410">
        <v>0</v>
      </c>
      <c r="AB15" s="409">
        <f t="shared" si="7"/>
        <v>0</v>
      </c>
      <c r="AC15" s="408">
        <v>0</v>
      </c>
      <c r="AD15" s="456"/>
      <c r="AE15" s="469"/>
    </row>
    <row r="16" spans="1:31" ht="23.25" x14ac:dyDescent="0.25">
      <c r="A16" s="468" t="s">
        <v>24</v>
      </c>
      <c r="B16" s="525">
        <v>430982</v>
      </c>
      <c r="C16" s="524">
        <v>387760</v>
      </c>
      <c r="D16" s="465">
        <f t="shared" si="0"/>
        <v>-43222</v>
      </c>
      <c r="E16" s="408">
        <f>IF(ISERROR(D16/B16),"-",D16/B16)</f>
        <v>-0.1002872509756788</v>
      </c>
      <c r="F16" s="483"/>
      <c r="G16" s="525">
        <v>369982</v>
      </c>
      <c r="H16" s="524">
        <v>343400</v>
      </c>
      <c r="I16" s="465">
        <f t="shared" si="1"/>
        <v>-26582</v>
      </c>
      <c r="J16" s="408">
        <f>IF(ISERROR(I16/G16),"-",I16/G16)</f>
        <v>-7.1846738489980591E-2</v>
      </c>
      <c r="K16" s="483"/>
      <c r="L16" s="525"/>
      <c r="M16" s="524"/>
      <c r="N16" s="465"/>
      <c r="O16" s="408"/>
      <c r="P16" s="483"/>
      <c r="Q16" s="525">
        <v>0</v>
      </c>
      <c r="R16" s="524">
        <v>0</v>
      </c>
      <c r="S16" s="465">
        <f t="shared" si="2"/>
        <v>0</v>
      </c>
      <c r="T16" s="523" t="str">
        <f t="shared" si="3"/>
        <v>-</v>
      </c>
      <c r="U16" s="483"/>
      <c r="V16" s="466">
        <f t="shared" si="4"/>
        <v>800964</v>
      </c>
      <c r="W16" s="465">
        <f t="shared" si="5"/>
        <v>731160</v>
      </c>
      <c r="X16" s="465">
        <f t="shared" si="6"/>
        <v>-69804</v>
      </c>
      <c r="Y16" s="408">
        <f>IF(ISERROR(X16/V16),"-",X16/V16)</f>
        <v>-8.7149984268955913E-2</v>
      </c>
      <c r="Z16" s="483"/>
      <c r="AA16" s="466">
        <v>1479928</v>
      </c>
      <c r="AB16" s="465">
        <f t="shared" si="7"/>
        <v>748768</v>
      </c>
      <c r="AC16" s="408">
        <f>IF(ISERROR(AB16/AA16),"-",AB16/AA16)</f>
        <v>0.50594893805644603</v>
      </c>
      <c r="AD16" s="482"/>
      <c r="AE16" s="396"/>
    </row>
    <row r="17" spans="1:31" ht="23.25" x14ac:dyDescent="0.25">
      <c r="A17" s="468" t="s">
        <v>25</v>
      </c>
      <c r="B17" s="410">
        <v>0</v>
      </c>
      <c r="C17" s="409">
        <v>0</v>
      </c>
      <c r="D17" s="409">
        <f t="shared" si="0"/>
        <v>0</v>
      </c>
      <c r="E17" s="408">
        <v>0</v>
      </c>
      <c r="F17" s="483"/>
      <c r="G17" s="410">
        <v>0</v>
      </c>
      <c r="H17" s="409">
        <v>0</v>
      </c>
      <c r="I17" s="409">
        <f t="shared" si="1"/>
        <v>0</v>
      </c>
      <c r="J17" s="408">
        <v>0</v>
      </c>
      <c r="K17" s="483"/>
      <c r="L17" s="410"/>
      <c r="M17" s="409"/>
      <c r="N17" s="409"/>
      <c r="O17" s="408"/>
      <c r="P17" s="483"/>
      <c r="Q17" s="525">
        <v>0</v>
      </c>
      <c r="R17" s="524">
        <v>0</v>
      </c>
      <c r="S17" s="465">
        <f t="shared" si="2"/>
        <v>0</v>
      </c>
      <c r="T17" s="408" t="str">
        <f t="shared" si="3"/>
        <v>-</v>
      </c>
      <c r="U17" s="483"/>
      <c r="V17" s="410">
        <f t="shared" si="4"/>
        <v>0</v>
      </c>
      <c r="W17" s="409">
        <f t="shared" si="5"/>
        <v>0</v>
      </c>
      <c r="X17" s="409">
        <f t="shared" si="6"/>
        <v>0</v>
      </c>
      <c r="Y17" s="408">
        <v>0</v>
      </c>
      <c r="Z17" s="470"/>
      <c r="AA17" s="410">
        <v>0</v>
      </c>
      <c r="AB17" s="409">
        <f t="shared" si="7"/>
        <v>0</v>
      </c>
      <c r="AC17" s="408">
        <v>0</v>
      </c>
      <c r="AD17" s="482"/>
      <c r="AE17" s="396"/>
    </row>
    <row r="18" spans="1:31" ht="23.25" x14ac:dyDescent="0.25">
      <c r="A18" s="468" t="s">
        <v>26</v>
      </c>
      <c r="B18" s="525">
        <v>1500</v>
      </c>
      <c r="C18" s="524">
        <v>2947</v>
      </c>
      <c r="D18" s="465">
        <f t="shared" si="0"/>
        <v>1447</v>
      </c>
      <c r="E18" s="408">
        <f>IF(ISERROR(D18/B18),"-",D18/B18)</f>
        <v>0.96466666666666667</v>
      </c>
      <c r="F18" s="483"/>
      <c r="G18" s="525">
        <v>875</v>
      </c>
      <c r="H18" s="409">
        <v>0</v>
      </c>
      <c r="I18" s="465">
        <f t="shared" si="1"/>
        <v>-875</v>
      </c>
      <c r="J18" s="408">
        <f>IF(ISERROR(I18/G18),"-",I18/G18)</f>
        <v>-1</v>
      </c>
      <c r="K18" s="483"/>
      <c r="L18" s="525"/>
      <c r="M18" s="409"/>
      <c r="N18" s="465"/>
      <c r="O18" s="408"/>
      <c r="P18" s="483"/>
      <c r="Q18" s="525">
        <v>0</v>
      </c>
      <c r="R18" s="524">
        <v>0</v>
      </c>
      <c r="S18" s="465">
        <f t="shared" si="2"/>
        <v>0</v>
      </c>
      <c r="T18" s="408" t="str">
        <f t="shared" si="3"/>
        <v>-</v>
      </c>
      <c r="U18" s="483"/>
      <c r="V18" s="466">
        <f t="shared" si="4"/>
        <v>2375</v>
      </c>
      <c r="W18" s="465">
        <f t="shared" si="5"/>
        <v>2947</v>
      </c>
      <c r="X18" s="465">
        <f t="shared" si="6"/>
        <v>572</v>
      </c>
      <c r="Y18" s="408">
        <f>IF(ISERROR(X18/V18),"-",X18/V18)</f>
        <v>0.24084210526315789</v>
      </c>
      <c r="Z18" s="483"/>
      <c r="AA18" s="466">
        <v>3245</v>
      </c>
      <c r="AB18" s="465">
        <f t="shared" si="7"/>
        <v>298</v>
      </c>
      <c r="AC18" s="408">
        <f>IF(ISERROR(AB18/AA18),"-",AB18/AA18)</f>
        <v>9.1833590138674884E-2</v>
      </c>
      <c r="AD18" s="482"/>
      <c r="AE18" s="469"/>
    </row>
    <row r="19" spans="1:31" ht="23.25" x14ac:dyDescent="0.25">
      <c r="A19" s="468" t="s">
        <v>153</v>
      </c>
      <c r="B19" s="410">
        <v>0</v>
      </c>
      <c r="C19" s="409">
        <v>0</v>
      </c>
      <c r="D19" s="409">
        <f t="shared" si="0"/>
        <v>0</v>
      </c>
      <c r="E19" s="408">
        <v>0</v>
      </c>
      <c r="F19" s="483"/>
      <c r="G19" s="410">
        <v>0</v>
      </c>
      <c r="H19" s="409">
        <v>0</v>
      </c>
      <c r="I19" s="409">
        <f t="shared" si="1"/>
        <v>0</v>
      </c>
      <c r="J19" s="408">
        <v>0</v>
      </c>
      <c r="K19" s="483"/>
      <c r="L19" s="410"/>
      <c r="M19" s="409"/>
      <c r="N19" s="409"/>
      <c r="O19" s="408"/>
      <c r="P19" s="483"/>
      <c r="Q19" s="525">
        <v>0</v>
      </c>
      <c r="R19" s="524">
        <v>0</v>
      </c>
      <c r="S19" s="465">
        <f t="shared" si="2"/>
        <v>0</v>
      </c>
      <c r="T19" s="523" t="str">
        <f t="shared" si="3"/>
        <v>-</v>
      </c>
      <c r="U19" s="483"/>
      <c r="V19" s="410">
        <f t="shared" si="4"/>
        <v>0</v>
      </c>
      <c r="W19" s="409">
        <f t="shared" si="5"/>
        <v>0</v>
      </c>
      <c r="X19" s="409">
        <f t="shared" si="6"/>
        <v>0</v>
      </c>
      <c r="Y19" s="408">
        <v>0</v>
      </c>
      <c r="Z19" s="470"/>
      <c r="AA19" s="410">
        <v>0</v>
      </c>
      <c r="AB19" s="409">
        <f t="shared" si="7"/>
        <v>0</v>
      </c>
      <c r="AC19" s="408">
        <v>0</v>
      </c>
      <c r="AD19" s="482"/>
      <c r="AE19" s="396" t="s">
        <v>172</v>
      </c>
    </row>
    <row r="20" spans="1:31" ht="23.25" x14ac:dyDescent="0.25">
      <c r="A20" s="526" t="s">
        <v>29</v>
      </c>
      <c r="B20" s="410">
        <v>0</v>
      </c>
      <c r="C20" s="409">
        <v>0</v>
      </c>
      <c r="D20" s="409">
        <f t="shared" si="0"/>
        <v>0</v>
      </c>
      <c r="E20" s="408">
        <v>0</v>
      </c>
      <c r="F20" s="483"/>
      <c r="G20" s="410">
        <v>0</v>
      </c>
      <c r="H20" s="409">
        <v>0</v>
      </c>
      <c r="I20" s="409">
        <f t="shared" si="1"/>
        <v>0</v>
      </c>
      <c r="J20" s="408">
        <v>0</v>
      </c>
      <c r="K20" s="483"/>
      <c r="L20" s="410"/>
      <c r="M20" s="409"/>
      <c r="N20" s="409"/>
      <c r="O20" s="408"/>
      <c r="P20" s="483"/>
      <c r="Q20" s="525">
        <v>0</v>
      </c>
      <c r="R20" s="524">
        <v>0</v>
      </c>
      <c r="S20" s="465">
        <f t="shared" si="2"/>
        <v>0</v>
      </c>
      <c r="T20" s="523" t="str">
        <f t="shared" si="3"/>
        <v>-</v>
      </c>
      <c r="U20" s="483"/>
      <c r="V20" s="410">
        <f t="shared" si="4"/>
        <v>0</v>
      </c>
      <c r="W20" s="409">
        <f t="shared" si="5"/>
        <v>0</v>
      </c>
      <c r="X20" s="409">
        <f t="shared" si="6"/>
        <v>0</v>
      </c>
      <c r="Y20" s="408">
        <v>0</v>
      </c>
      <c r="Z20" s="470"/>
      <c r="AA20" s="410">
        <v>0</v>
      </c>
      <c r="AB20" s="409">
        <f t="shared" si="7"/>
        <v>0</v>
      </c>
      <c r="AC20" s="408">
        <v>0</v>
      </c>
      <c r="AD20" s="482"/>
      <c r="AE20" s="396"/>
    </row>
    <row r="21" spans="1:31" ht="23.25" x14ac:dyDescent="0.25">
      <c r="A21" s="468" t="s">
        <v>30</v>
      </c>
      <c r="B21" s="410">
        <v>0</v>
      </c>
      <c r="C21" s="409">
        <v>0</v>
      </c>
      <c r="D21" s="409">
        <f t="shared" si="0"/>
        <v>0</v>
      </c>
      <c r="E21" s="408">
        <v>0</v>
      </c>
      <c r="F21" s="483"/>
      <c r="G21" s="410">
        <v>0</v>
      </c>
      <c r="H21" s="409">
        <v>0</v>
      </c>
      <c r="I21" s="409">
        <f t="shared" si="1"/>
        <v>0</v>
      </c>
      <c r="J21" s="408">
        <v>0</v>
      </c>
      <c r="K21" s="483"/>
      <c r="L21" s="410"/>
      <c r="M21" s="409"/>
      <c r="N21" s="409"/>
      <c r="O21" s="408"/>
      <c r="P21" s="483"/>
      <c r="Q21" s="525">
        <v>0</v>
      </c>
      <c r="R21" s="524">
        <v>0</v>
      </c>
      <c r="S21" s="465">
        <f t="shared" si="2"/>
        <v>0</v>
      </c>
      <c r="T21" s="523" t="str">
        <f t="shared" si="3"/>
        <v>-</v>
      </c>
      <c r="U21" s="483"/>
      <c r="V21" s="410">
        <f t="shared" si="4"/>
        <v>0</v>
      </c>
      <c r="W21" s="409">
        <f t="shared" si="5"/>
        <v>0</v>
      </c>
      <c r="X21" s="409">
        <f t="shared" si="6"/>
        <v>0</v>
      </c>
      <c r="Y21" s="408">
        <v>0</v>
      </c>
      <c r="Z21" s="470"/>
      <c r="AA21" s="410">
        <v>0</v>
      </c>
      <c r="AB21" s="409">
        <f t="shared" si="7"/>
        <v>0</v>
      </c>
      <c r="AC21" s="408">
        <v>0</v>
      </c>
      <c r="AD21" s="482"/>
      <c r="AE21" s="396"/>
    </row>
    <row r="22" spans="1:31" ht="23.25" x14ac:dyDescent="0.25">
      <c r="A22" s="468" t="s">
        <v>31</v>
      </c>
      <c r="B22" s="522"/>
      <c r="C22" s="521"/>
      <c r="D22" s="492"/>
      <c r="E22" s="457"/>
      <c r="F22" s="483"/>
      <c r="G22" s="522"/>
      <c r="H22" s="521"/>
      <c r="I22" s="492"/>
      <c r="J22" s="457"/>
      <c r="K22" s="483"/>
      <c r="L22" s="493"/>
      <c r="M22" s="521"/>
      <c r="N22" s="492"/>
      <c r="O22" s="457"/>
      <c r="P22" s="483"/>
      <c r="Q22" s="522"/>
      <c r="R22" s="521"/>
      <c r="S22" s="492"/>
      <c r="T22" s="520"/>
      <c r="U22" s="483"/>
      <c r="V22" s="493"/>
      <c r="W22" s="492"/>
      <c r="X22" s="492"/>
      <c r="Y22" s="457"/>
      <c r="Z22" s="483"/>
      <c r="AA22" s="493"/>
      <c r="AB22" s="492"/>
      <c r="AC22" s="457"/>
      <c r="AD22" s="482"/>
      <c r="AE22" s="396"/>
    </row>
    <row r="23" spans="1:31" ht="23.25" x14ac:dyDescent="0.25">
      <c r="A23" s="439" t="s">
        <v>32</v>
      </c>
      <c r="B23" s="435">
        <f>SUM(B13:B22)</f>
        <v>451357</v>
      </c>
      <c r="C23" s="434">
        <f>SUM(C13:C22)</f>
        <v>400909</v>
      </c>
      <c r="D23" s="434">
        <f>SUM(D13:D22)</f>
        <v>-50448</v>
      </c>
      <c r="E23" s="433">
        <f>IF(ISERROR(D23/B23),"-",D23/B23)</f>
        <v>-0.11176961917063433</v>
      </c>
      <c r="F23" s="455"/>
      <c r="G23" s="435">
        <f>SUM(G13:G22)</f>
        <v>379098</v>
      </c>
      <c r="H23" s="434">
        <f>SUM(H13:H22)</f>
        <v>347182</v>
      </c>
      <c r="I23" s="434">
        <f>SUM(I13:I22)</f>
        <v>-31916</v>
      </c>
      <c r="J23" s="433">
        <f>IF(ISERROR(I23/G23),"-",I23/G23)</f>
        <v>-8.4189312526048679E-2</v>
      </c>
      <c r="K23" s="455"/>
      <c r="L23" s="434"/>
      <c r="M23" s="434"/>
      <c r="N23" s="434"/>
      <c r="O23" s="433"/>
      <c r="P23" s="455"/>
      <c r="Q23" s="435">
        <f>SUM(Q13:Q22)</f>
        <v>0</v>
      </c>
      <c r="R23" s="434">
        <f>SUM(R13:R22)</f>
        <v>0</v>
      </c>
      <c r="S23" s="434">
        <f>SUM(S13:S22)</f>
        <v>0</v>
      </c>
      <c r="T23" s="519" t="str">
        <f>IF(ISERROR(S23/Q23),"-",S23/Q23)</f>
        <v>-</v>
      </c>
      <c r="U23" s="455"/>
      <c r="V23" s="435">
        <f>SUM(V13:V22)</f>
        <v>830455</v>
      </c>
      <c r="W23" s="434">
        <f>SUM(W13:W22)</f>
        <v>748091</v>
      </c>
      <c r="X23" s="434">
        <f>SUM(X13:X22)</f>
        <v>-82364</v>
      </c>
      <c r="Y23" s="519">
        <f>IF(ISERROR(X23/V23),"-",X23/V23)</f>
        <v>-9.9179365528535568E-2</v>
      </c>
      <c r="Z23" s="455"/>
      <c r="AA23" s="438">
        <f>SUM(AA13:AA22)</f>
        <v>1524498</v>
      </c>
      <c r="AB23" s="437">
        <f>SUM(AB13:AB22)</f>
        <v>776407</v>
      </c>
      <c r="AC23" s="510">
        <f>IF(ISERROR(AB23/AA23),"-",AB23/AA23)</f>
        <v>0.50928699152114332</v>
      </c>
      <c r="AD23" s="454"/>
      <c r="AE23" s="432"/>
    </row>
    <row r="24" spans="1:31" ht="23.25" x14ac:dyDescent="0.25">
      <c r="A24" s="518"/>
      <c r="B24" s="422"/>
      <c r="C24" s="423"/>
      <c r="D24" s="423"/>
      <c r="E24" s="420"/>
      <c r="F24" s="483"/>
      <c r="G24" s="486"/>
      <c r="H24" s="485"/>
      <c r="I24" s="485"/>
      <c r="J24" s="430"/>
      <c r="K24" s="483"/>
      <c r="L24" s="422"/>
      <c r="M24" s="423"/>
      <c r="N24" s="423"/>
      <c r="O24" s="420"/>
      <c r="P24" s="483"/>
      <c r="Q24" s="486"/>
      <c r="R24" s="485"/>
      <c r="S24" s="485"/>
      <c r="T24" s="517" t="str">
        <f>IF(ISERROR(S24/Q24),"-",S24/Q24)</f>
        <v>-</v>
      </c>
      <c r="U24" s="483"/>
      <c r="V24" s="422"/>
      <c r="W24" s="423"/>
      <c r="X24" s="423"/>
      <c r="Y24" s="420"/>
      <c r="Z24" s="483"/>
      <c r="AA24" s="422"/>
      <c r="AB24" s="423"/>
      <c r="AC24" s="420"/>
      <c r="AD24" s="482"/>
      <c r="AE24" s="396"/>
    </row>
    <row r="25" spans="1:31" ht="23.25" x14ac:dyDescent="0.25">
      <c r="A25" s="419" t="s">
        <v>33</v>
      </c>
      <c r="B25" s="410"/>
      <c r="C25" s="409"/>
      <c r="D25" s="409">
        <f>C25-B25</f>
        <v>0</v>
      </c>
      <c r="E25" s="408" t="str">
        <f>IF(ISERROR(D25/B25),"-",D25/B25)</f>
        <v>-</v>
      </c>
      <c r="F25" s="483"/>
      <c r="G25" s="418">
        <v>0</v>
      </c>
      <c r="H25" s="417">
        <v>0</v>
      </c>
      <c r="I25" s="417">
        <f>H25-G25</f>
        <v>0</v>
      </c>
      <c r="J25" s="416" t="str">
        <f>IF(ISERROR(I25/G25),"-",I25/G25)</f>
        <v>-</v>
      </c>
      <c r="K25" s="483"/>
      <c r="L25" s="410"/>
      <c r="M25" s="409"/>
      <c r="N25" s="409"/>
      <c r="O25" s="408"/>
      <c r="P25" s="483"/>
      <c r="Q25" s="415"/>
      <c r="R25" s="414"/>
      <c r="S25" s="414">
        <f>Q25-R25</f>
        <v>0</v>
      </c>
      <c r="T25" s="413" t="str">
        <f>IF(ISERROR(S25/Q25),"-",S25/Q25)</f>
        <v>-</v>
      </c>
      <c r="U25" s="483"/>
      <c r="V25" s="410">
        <f>B25+G25+L25+Q25</f>
        <v>0</v>
      </c>
      <c r="W25" s="409">
        <f>C25+H25+M25+R25</f>
        <v>0</v>
      </c>
      <c r="X25" s="409">
        <v>0</v>
      </c>
      <c r="Y25" s="474"/>
      <c r="Z25" s="470"/>
      <c r="AA25" s="410">
        <v>0</v>
      </c>
      <c r="AB25" s="409">
        <v>0</v>
      </c>
      <c r="AC25" s="474">
        <v>0</v>
      </c>
      <c r="AD25" s="482"/>
      <c r="AE25" s="396"/>
    </row>
    <row r="26" spans="1:31" ht="23.25" x14ac:dyDescent="0.25">
      <c r="A26" s="406"/>
      <c r="B26" s="513"/>
      <c r="C26" s="512"/>
      <c r="D26" s="512"/>
      <c r="E26" s="511"/>
      <c r="F26" s="444"/>
      <c r="G26" s="516"/>
      <c r="H26" s="515"/>
      <c r="I26" s="515"/>
      <c r="J26" s="405"/>
      <c r="K26" s="444"/>
      <c r="L26" s="513"/>
      <c r="M26" s="512"/>
      <c r="N26" s="512"/>
      <c r="O26" s="511"/>
      <c r="P26" s="444"/>
      <c r="Q26" s="516"/>
      <c r="R26" s="515"/>
      <c r="S26" s="515"/>
      <c r="T26" s="514" t="str">
        <f>IF(ISERROR(S26/Q26),"-",S26/Q26)</f>
        <v>-</v>
      </c>
      <c r="U26" s="444"/>
      <c r="V26" s="513"/>
      <c r="W26" s="512"/>
      <c r="X26" s="512"/>
      <c r="Y26" s="511"/>
      <c r="Z26" s="444"/>
      <c r="AA26" s="513"/>
      <c r="AB26" s="512"/>
      <c r="AC26" s="511"/>
      <c r="AD26" s="440"/>
      <c r="AE26" s="396"/>
    </row>
    <row r="27" spans="1:31" ht="23.25" x14ac:dyDescent="0.25">
      <c r="A27" s="439" t="s">
        <v>34</v>
      </c>
      <c r="B27" s="435">
        <f>B23+B25</f>
        <v>451357</v>
      </c>
      <c r="C27" s="434">
        <f>C23+C25</f>
        <v>400909</v>
      </c>
      <c r="D27" s="434">
        <f>D23+D25</f>
        <v>-50448</v>
      </c>
      <c r="E27" s="433">
        <f>IF(ISERROR(D27/B27),"-",D27/B27)</f>
        <v>-0.11176961917063433</v>
      </c>
      <c r="F27" s="455"/>
      <c r="G27" s="435">
        <f>G23+G25</f>
        <v>379098</v>
      </c>
      <c r="H27" s="434">
        <f>H23+H25</f>
        <v>347182</v>
      </c>
      <c r="I27" s="434">
        <f>I23+I25</f>
        <v>-31916</v>
      </c>
      <c r="J27" s="433">
        <f>IF(ISERROR(I27/G27),"-",I27/G27)</f>
        <v>-8.4189312526048679E-2</v>
      </c>
      <c r="K27" s="455"/>
      <c r="L27" s="435"/>
      <c r="M27" s="434"/>
      <c r="N27" s="434"/>
      <c r="O27" s="433"/>
      <c r="P27" s="455"/>
      <c r="Q27" s="435">
        <f>Q23+Q25</f>
        <v>0</v>
      </c>
      <c r="R27" s="434">
        <f>R23+R25</f>
        <v>0</v>
      </c>
      <c r="S27" s="434">
        <f>S23+S25</f>
        <v>0</v>
      </c>
      <c r="T27" s="433" t="str">
        <f>IF(ISERROR(S27/Q27),"-",S27/Q27)</f>
        <v>-</v>
      </c>
      <c r="U27" s="455"/>
      <c r="V27" s="435">
        <f>V23+V25</f>
        <v>830455</v>
      </c>
      <c r="W27" s="434">
        <f>W23+W25</f>
        <v>748091</v>
      </c>
      <c r="X27" s="434">
        <f>X23+X25</f>
        <v>-82364</v>
      </c>
      <c r="Y27" s="433">
        <f>IF(ISERROR(X27/V27),"-",X27/V27)</f>
        <v>-9.9179365528535568E-2</v>
      </c>
      <c r="Z27" s="455"/>
      <c r="AA27" s="438">
        <f>AA23+AA25</f>
        <v>1524498</v>
      </c>
      <c r="AB27" s="437">
        <f>AA27-W27</f>
        <v>776407</v>
      </c>
      <c r="AC27" s="510">
        <f>IF(ISERROR(AB27/AA27),"-",AB27/AA27)</f>
        <v>0.50928699152114332</v>
      </c>
      <c r="AD27" s="454"/>
      <c r="AE27" s="432"/>
    </row>
    <row r="28" spans="1:31" ht="23.25" x14ac:dyDescent="0.25">
      <c r="A28" s="488"/>
      <c r="B28" s="508"/>
      <c r="C28" s="504"/>
      <c r="D28" s="504"/>
      <c r="E28" s="503"/>
      <c r="F28" s="444"/>
      <c r="G28" s="507"/>
      <c r="H28" s="506"/>
      <c r="I28" s="506"/>
      <c r="J28" s="509"/>
      <c r="K28" s="444"/>
      <c r="L28" s="508"/>
      <c r="M28" s="504"/>
      <c r="N28" s="504"/>
      <c r="O28" s="503"/>
      <c r="P28" s="444"/>
      <c r="Q28" s="507"/>
      <c r="R28" s="506"/>
      <c r="S28" s="506"/>
      <c r="T28" s="505"/>
      <c r="U28" s="444"/>
      <c r="V28" s="422"/>
      <c r="W28" s="423"/>
      <c r="X28" s="504"/>
      <c r="Y28" s="503"/>
      <c r="Z28" s="444"/>
      <c r="AA28" s="422"/>
      <c r="AB28" s="504"/>
      <c r="AC28" s="503"/>
      <c r="AD28" s="440"/>
      <c r="AE28" s="396"/>
    </row>
    <row r="29" spans="1:31" ht="23.25" x14ac:dyDescent="0.25">
      <c r="A29" s="419" t="s">
        <v>35</v>
      </c>
      <c r="B29" s="466"/>
      <c r="C29" s="465"/>
      <c r="D29" s="465"/>
      <c r="E29" s="474"/>
      <c r="F29" s="483"/>
      <c r="G29" s="415"/>
      <c r="H29" s="414"/>
      <c r="I29" s="414"/>
      <c r="J29" s="501"/>
      <c r="K29" s="483"/>
      <c r="L29" s="466"/>
      <c r="M29" s="465"/>
      <c r="N29" s="465"/>
      <c r="O29" s="474"/>
      <c r="P29" s="483"/>
      <c r="Q29" s="415"/>
      <c r="R29" s="414"/>
      <c r="S29" s="414"/>
      <c r="T29" s="500"/>
      <c r="U29" s="483"/>
      <c r="V29" s="466"/>
      <c r="W29" s="465"/>
      <c r="X29" s="465"/>
      <c r="Y29" s="474"/>
      <c r="Z29" s="483"/>
      <c r="AA29" s="466"/>
      <c r="AB29" s="465"/>
      <c r="AC29" s="474"/>
      <c r="AD29" s="482"/>
      <c r="AE29" s="396"/>
    </row>
    <row r="30" spans="1:31" ht="23.25" x14ac:dyDescent="0.25">
      <c r="A30" s="502"/>
      <c r="B30" s="466"/>
      <c r="C30" s="465"/>
      <c r="D30" s="465"/>
      <c r="E30" s="474"/>
      <c r="F30" s="483"/>
      <c r="G30" s="415"/>
      <c r="H30" s="414"/>
      <c r="I30" s="414"/>
      <c r="J30" s="501"/>
      <c r="K30" s="483"/>
      <c r="L30" s="466"/>
      <c r="M30" s="465"/>
      <c r="N30" s="465"/>
      <c r="O30" s="474"/>
      <c r="P30" s="483"/>
      <c r="Q30" s="415"/>
      <c r="R30" s="414"/>
      <c r="S30" s="414"/>
      <c r="T30" s="500"/>
      <c r="U30" s="483"/>
      <c r="V30" s="466"/>
      <c r="W30" s="465"/>
      <c r="X30" s="465"/>
      <c r="Y30" s="474"/>
      <c r="Z30" s="483"/>
      <c r="AA30" s="466"/>
      <c r="AB30" s="465"/>
      <c r="AC30" s="474"/>
      <c r="AD30" s="482"/>
      <c r="AE30" s="396"/>
    </row>
    <row r="31" spans="1:31" ht="23.25" x14ac:dyDescent="0.25">
      <c r="A31" s="419" t="s">
        <v>36</v>
      </c>
      <c r="B31" s="466"/>
      <c r="C31" s="465"/>
      <c r="D31" s="465"/>
      <c r="E31" s="474"/>
      <c r="F31" s="483"/>
      <c r="G31" s="415"/>
      <c r="H31" s="414"/>
      <c r="I31" s="414"/>
      <c r="J31" s="501"/>
      <c r="K31" s="483"/>
      <c r="L31" s="466"/>
      <c r="M31" s="465"/>
      <c r="N31" s="465"/>
      <c r="O31" s="474"/>
      <c r="P31" s="483"/>
      <c r="Q31" s="415"/>
      <c r="R31" s="414"/>
      <c r="S31" s="414"/>
      <c r="T31" s="500"/>
      <c r="U31" s="483"/>
      <c r="V31" s="466"/>
      <c r="W31" s="465"/>
      <c r="X31" s="465"/>
      <c r="Y31" s="474"/>
      <c r="Z31" s="483"/>
      <c r="AA31" s="466"/>
      <c r="AB31" s="465"/>
      <c r="AC31" s="474"/>
      <c r="AD31" s="482"/>
      <c r="AE31" s="396"/>
    </row>
    <row r="32" spans="1:31" ht="23.25" x14ac:dyDescent="0.25">
      <c r="A32" s="468" t="s">
        <v>37</v>
      </c>
      <c r="B32" s="466">
        <v>220104</v>
      </c>
      <c r="C32" s="465">
        <v>218097</v>
      </c>
      <c r="D32" s="465">
        <f>B32-C32</f>
        <v>2007</v>
      </c>
      <c r="E32" s="408">
        <f>IF(ISERROR(D32/B32),"-",D32/B32)</f>
        <v>9.1184167484461894E-3</v>
      </c>
      <c r="F32" s="460"/>
      <c r="G32" s="415">
        <v>220104</v>
      </c>
      <c r="H32" s="414">
        <v>218802</v>
      </c>
      <c r="I32" s="414">
        <f>G32-H32</f>
        <v>1302</v>
      </c>
      <c r="J32" s="467">
        <f>IF(ISERROR(I32/G32),"-",I32/G32)</f>
        <v>5.915385454148948E-3</v>
      </c>
      <c r="K32" s="460"/>
      <c r="L32" s="466"/>
      <c r="M32" s="465"/>
      <c r="N32" s="465"/>
      <c r="O32" s="408"/>
      <c r="P32" s="460"/>
      <c r="Q32" s="415">
        <v>0</v>
      </c>
      <c r="R32" s="414">
        <v>0</v>
      </c>
      <c r="S32" s="414">
        <f>Q32-R32</f>
        <v>0</v>
      </c>
      <c r="T32" s="416" t="str">
        <f>IF(ISERROR(S32/Q32),"-",S32/Q32)</f>
        <v>-</v>
      </c>
      <c r="U32" s="460"/>
      <c r="V32" s="466">
        <f t="shared" ref="V32:W36" si="8">B32+G32+L32+Q32</f>
        <v>440208</v>
      </c>
      <c r="W32" s="465">
        <f t="shared" si="8"/>
        <v>436899</v>
      </c>
      <c r="X32" s="465">
        <f>V32-W32</f>
        <v>3309</v>
      </c>
      <c r="Y32" s="408">
        <f>IF(ISERROR(X32/V32),"-",X32/V32)</f>
        <v>7.5169011012975687E-3</v>
      </c>
      <c r="Z32" s="460"/>
      <c r="AA32" s="466">
        <v>860707</v>
      </c>
      <c r="AB32" s="465">
        <f>AA32-W32</f>
        <v>423808</v>
      </c>
      <c r="AC32" s="408">
        <f>IF(ISERROR(AB32/AA32),"-",AB32/AA32)</f>
        <v>0.49239520533700781</v>
      </c>
      <c r="AD32" s="456"/>
      <c r="AE32" s="498"/>
    </row>
    <row r="33" spans="1:31" ht="23.25" x14ac:dyDescent="0.25">
      <c r="A33" s="468" t="s">
        <v>38</v>
      </c>
      <c r="B33" s="466">
        <v>3000</v>
      </c>
      <c r="C33" s="465">
        <v>3000</v>
      </c>
      <c r="D33" s="409">
        <v>0</v>
      </c>
      <c r="E33" s="408">
        <f>IF(ISERROR(D33/B33),"-",D33/B33)</f>
        <v>0</v>
      </c>
      <c r="F33" s="460"/>
      <c r="G33" s="415">
        <v>3000</v>
      </c>
      <c r="H33" s="414">
        <v>3000</v>
      </c>
      <c r="I33" s="417">
        <v>0</v>
      </c>
      <c r="J33" s="467">
        <f>IF(ISERROR(I33/G33),"-",I33/G33)</f>
        <v>0</v>
      </c>
      <c r="K33" s="460"/>
      <c r="L33" s="466"/>
      <c r="M33" s="465"/>
      <c r="N33" s="409"/>
      <c r="O33" s="408"/>
      <c r="P33" s="460"/>
      <c r="Q33" s="415">
        <v>0</v>
      </c>
      <c r="R33" s="414">
        <v>0</v>
      </c>
      <c r="S33" s="414">
        <f>Q33-R33</f>
        <v>0</v>
      </c>
      <c r="T33" s="416" t="str">
        <f>IF(ISERROR(S33/Q33),"-",S33/Q33)</f>
        <v>-</v>
      </c>
      <c r="U33" s="460"/>
      <c r="V33" s="466">
        <f t="shared" si="8"/>
        <v>6000</v>
      </c>
      <c r="W33" s="465">
        <f t="shared" si="8"/>
        <v>6000</v>
      </c>
      <c r="X33" s="409">
        <f>V33-W33</f>
        <v>0</v>
      </c>
      <c r="Y33" s="408">
        <f>IF(ISERROR(X33/V33),"-",X33/V33)</f>
        <v>0</v>
      </c>
      <c r="Z33" s="460"/>
      <c r="AA33" s="466">
        <v>12000</v>
      </c>
      <c r="AB33" s="465">
        <f>AA33-W33</f>
        <v>6000</v>
      </c>
      <c r="AC33" s="408">
        <f>IF(ISERROR(AB33/AA33),"-",AB33/AA33)</f>
        <v>0.5</v>
      </c>
      <c r="AD33" s="456"/>
      <c r="AE33" s="491"/>
    </row>
    <row r="34" spans="1:31" ht="23.25" x14ac:dyDescent="0.25">
      <c r="A34" s="468" t="s">
        <v>39</v>
      </c>
      <c r="B34" s="466">
        <v>6603</v>
      </c>
      <c r="C34" s="465">
        <v>6562</v>
      </c>
      <c r="D34" s="465">
        <f>B34-C34</f>
        <v>41</v>
      </c>
      <c r="E34" s="408">
        <f>IF(ISERROR(D34/B34),"-",D34/B34)</f>
        <v>6.2092988035741328E-3</v>
      </c>
      <c r="F34" s="412"/>
      <c r="G34" s="415">
        <v>6603</v>
      </c>
      <c r="H34" s="414">
        <v>6574</v>
      </c>
      <c r="I34" s="414">
        <f>G34-H34</f>
        <v>29</v>
      </c>
      <c r="J34" s="467">
        <f>IF(ISERROR(I34/G34),"-",I34/G34)</f>
        <v>4.391943056186582E-3</v>
      </c>
      <c r="K34" s="412"/>
      <c r="L34" s="466"/>
      <c r="M34" s="465"/>
      <c r="N34" s="465"/>
      <c r="O34" s="408"/>
      <c r="P34" s="412"/>
      <c r="Q34" s="415">
        <v>0</v>
      </c>
      <c r="R34" s="414">
        <v>0</v>
      </c>
      <c r="S34" s="414">
        <f>Q34-R34</f>
        <v>0</v>
      </c>
      <c r="T34" s="413" t="str">
        <f>IF(ISERROR(S34/Q34),"-",S34/Q34)</f>
        <v>-</v>
      </c>
      <c r="U34" s="412"/>
      <c r="V34" s="466">
        <f t="shared" si="8"/>
        <v>13206</v>
      </c>
      <c r="W34" s="465">
        <f t="shared" si="8"/>
        <v>13136</v>
      </c>
      <c r="X34" s="465">
        <f>V34-W34</f>
        <v>70</v>
      </c>
      <c r="Y34" s="408">
        <f>IF(ISERROR(X34/V34),"-",X34/V34)</f>
        <v>5.3006209298803574E-3</v>
      </c>
      <c r="Z34" s="412"/>
      <c r="AA34" s="466">
        <v>27112</v>
      </c>
      <c r="AB34" s="465">
        <f>AA34-W34</f>
        <v>13976</v>
      </c>
      <c r="AC34" s="408">
        <f>IF(ISERROR(AB34/AA34),"-",AB34/AA34)</f>
        <v>0.51549129536736504</v>
      </c>
      <c r="AD34" s="407"/>
      <c r="AE34" s="396"/>
    </row>
    <row r="35" spans="1:31" ht="23.25" x14ac:dyDescent="0.25">
      <c r="A35" s="468" t="s">
        <v>40</v>
      </c>
      <c r="B35" s="466">
        <v>8779</v>
      </c>
      <c r="C35" s="465">
        <v>9129</v>
      </c>
      <c r="D35" s="465">
        <f>B35-C35</f>
        <v>-350</v>
      </c>
      <c r="E35" s="408">
        <f>IF(ISERROR(D35/B35),"-",D35/B35)</f>
        <v>-3.986786649960132E-2</v>
      </c>
      <c r="F35" s="460"/>
      <c r="G35" s="415">
        <v>8778</v>
      </c>
      <c r="H35" s="414">
        <v>7453</v>
      </c>
      <c r="I35" s="414">
        <f>G35-H35</f>
        <v>1325</v>
      </c>
      <c r="J35" s="467">
        <f>IF(ISERROR(I35/G35),"-",I35/G35)</f>
        <v>0.1509455456823878</v>
      </c>
      <c r="K35" s="460"/>
      <c r="L35" s="466"/>
      <c r="M35" s="465"/>
      <c r="N35" s="465"/>
      <c r="O35" s="408"/>
      <c r="P35" s="460"/>
      <c r="Q35" s="415">
        <v>0</v>
      </c>
      <c r="R35" s="414">
        <v>0</v>
      </c>
      <c r="S35" s="414">
        <f>Q35-R35</f>
        <v>0</v>
      </c>
      <c r="T35" s="416" t="str">
        <f>IF(ISERROR(S35/Q35),"-",S35/Q35)</f>
        <v>-</v>
      </c>
      <c r="U35" s="460"/>
      <c r="V35" s="466">
        <f t="shared" si="8"/>
        <v>17557</v>
      </c>
      <c r="W35" s="465">
        <f t="shared" si="8"/>
        <v>16582</v>
      </c>
      <c r="X35" s="465">
        <f>V35-W35</f>
        <v>975</v>
      </c>
      <c r="Y35" s="408">
        <f>IF(ISERROR(X35/V35),"-",X35/V35)</f>
        <v>5.5533405479296007E-2</v>
      </c>
      <c r="Z35" s="460"/>
      <c r="AA35" s="466">
        <v>33613</v>
      </c>
      <c r="AB35" s="465">
        <f>AA35-W35</f>
        <v>17031</v>
      </c>
      <c r="AC35" s="408">
        <f>IF(ISERROR(AB35/AA35),"-",AB35/AA35)</f>
        <v>0.50667896349626629</v>
      </c>
      <c r="AD35" s="456"/>
      <c r="AE35" s="498"/>
    </row>
    <row r="36" spans="1:31" ht="23.25" x14ac:dyDescent="0.25">
      <c r="A36" s="468" t="s">
        <v>41</v>
      </c>
      <c r="B36" s="466">
        <v>900</v>
      </c>
      <c r="C36" s="465">
        <v>900</v>
      </c>
      <c r="D36" s="409">
        <f>B36-C36</f>
        <v>0</v>
      </c>
      <c r="E36" s="408">
        <f>IF(ISERROR(D36/B36),"-",D36/B36)</f>
        <v>0</v>
      </c>
      <c r="F36" s="460"/>
      <c r="G36" s="415">
        <v>900</v>
      </c>
      <c r="H36" s="414">
        <v>900</v>
      </c>
      <c r="I36" s="417">
        <f>G36-H36</f>
        <v>0</v>
      </c>
      <c r="J36" s="467">
        <f>IF(ISERROR(I36/G36),"-",I36/G36)</f>
        <v>0</v>
      </c>
      <c r="K36" s="460"/>
      <c r="L36" s="466"/>
      <c r="M36" s="465"/>
      <c r="N36" s="409"/>
      <c r="O36" s="408"/>
      <c r="P36" s="460"/>
      <c r="Q36" s="415">
        <v>0</v>
      </c>
      <c r="R36" s="414">
        <v>0</v>
      </c>
      <c r="S36" s="414">
        <f>Q36-R36</f>
        <v>0</v>
      </c>
      <c r="T36" s="416" t="str">
        <f>IF(ISERROR(S36/Q36),"-",S36/Q36)</f>
        <v>-</v>
      </c>
      <c r="U36" s="460"/>
      <c r="V36" s="466">
        <f t="shared" si="8"/>
        <v>1800</v>
      </c>
      <c r="W36" s="465">
        <f t="shared" si="8"/>
        <v>1800</v>
      </c>
      <c r="X36" s="409">
        <f>V36-W36</f>
        <v>0</v>
      </c>
      <c r="Y36" s="408">
        <f>IF(ISERROR(X36/V36),"-",X36/V36)</f>
        <v>0</v>
      </c>
      <c r="Z36" s="460"/>
      <c r="AA36" s="466">
        <v>3600</v>
      </c>
      <c r="AB36" s="465">
        <f>AA36-W36</f>
        <v>1800</v>
      </c>
      <c r="AC36" s="408">
        <f>IF(ISERROR(AB36/AA36),"-",AB36/AA36)</f>
        <v>0.5</v>
      </c>
      <c r="AD36" s="456"/>
      <c r="AE36" s="499"/>
    </row>
    <row r="37" spans="1:31" ht="23.25" x14ac:dyDescent="0.25">
      <c r="A37" s="468" t="s">
        <v>155</v>
      </c>
      <c r="B37" s="466">
        <v>0</v>
      </c>
      <c r="C37" s="465"/>
      <c r="D37" s="409"/>
      <c r="E37" s="408"/>
      <c r="F37" s="460"/>
      <c r="G37" s="415"/>
      <c r="H37" s="414"/>
      <c r="I37" s="417"/>
      <c r="J37" s="467"/>
      <c r="K37" s="460"/>
      <c r="L37" s="466"/>
      <c r="M37" s="465"/>
      <c r="N37" s="409"/>
      <c r="O37" s="408"/>
      <c r="P37" s="460"/>
      <c r="Q37" s="415"/>
      <c r="R37" s="414"/>
      <c r="S37" s="414"/>
      <c r="T37" s="416"/>
      <c r="U37" s="460"/>
      <c r="V37" s="466"/>
      <c r="W37" s="465"/>
      <c r="X37" s="409"/>
      <c r="Y37" s="408"/>
      <c r="Z37" s="460"/>
      <c r="AA37" s="466"/>
      <c r="AB37" s="465"/>
      <c r="AC37" s="408"/>
      <c r="AD37" s="456"/>
      <c r="AE37" s="469"/>
    </row>
    <row r="38" spans="1:31" ht="23.25" x14ac:dyDescent="0.25">
      <c r="A38" s="468" t="s">
        <v>156</v>
      </c>
      <c r="B38" s="410">
        <v>0</v>
      </c>
      <c r="C38" s="409">
        <v>0</v>
      </c>
      <c r="D38" s="409">
        <f>B38-C38</f>
        <v>0</v>
      </c>
      <c r="E38" s="408">
        <v>0</v>
      </c>
      <c r="F38" s="412"/>
      <c r="G38" s="418">
        <v>0</v>
      </c>
      <c r="H38" s="417">
        <v>0</v>
      </c>
      <c r="I38" s="417">
        <f>G38-H38</f>
        <v>0</v>
      </c>
      <c r="J38" s="467">
        <v>0</v>
      </c>
      <c r="K38" s="412"/>
      <c r="L38" s="410"/>
      <c r="M38" s="409"/>
      <c r="N38" s="409"/>
      <c r="O38" s="408"/>
      <c r="P38" s="412"/>
      <c r="Q38" s="415">
        <v>0</v>
      </c>
      <c r="R38" s="414">
        <v>0</v>
      </c>
      <c r="S38" s="414">
        <f>Q38-R38</f>
        <v>0</v>
      </c>
      <c r="T38" s="413" t="str">
        <f>IF(ISERROR(S38/Q38),"-",S38/Q38)</f>
        <v>-</v>
      </c>
      <c r="U38" s="412"/>
      <c r="V38" s="410">
        <f>B38+G38+L38+Q38</f>
        <v>0</v>
      </c>
      <c r="W38" s="409">
        <f>C38+H38+M38+R38</f>
        <v>0</v>
      </c>
      <c r="X38" s="409">
        <f>V38-W38</f>
        <v>0</v>
      </c>
      <c r="Y38" s="408">
        <v>0</v>
      </c>
      <c r="Z38" s="411"/>
      <c r="AA38" s="410">
        <v>0</v>
      </c>
      <c r="AB38" s="409">
        <f>AA38-W38</f>
        <v>0</v>
      </c>
      <c r="AC38" s="408">
        <v>0</v>
      </c>
      <c r="AD38" s="407"/>
      <c r="AE38" s="396"/>
    </row>
    <row r="39" spans="1:31" ht="23.25" x14ac:dyDescent="0.25">
      <c r="A39" s="497" t="s">
        <v>44</v>
      </c>
      <c r="B39" s="493">
        <v>0</v>
      </c>
      <c r="C39" s="492">
        <v>0</v>
      </c>
      <c r="D39" s="492">
        <f>B39-C39</f>
        <v>0</v>
      </c>
      <c r="E39" s="457">
        <v>0</v>
      </c>
      <c r="F39" s="483"/>
      <c r="G39" s="496">
        <v>0</v>
      </c>
      <c r="H39" s="495">
        <v>0</v>
      </c>
      <c r="I39" s="495">
        <f>G39-H39</f>
        <v>0</v>
      </c>
      <c r="J39" s="494">
        <v>0</v>
      </c>
      <c r="K39" s="483"/>
      <c r="L39" s="493"/>
      <c r="M39" s="492"/>
      <c r="N39" s="492"/>
      <c r="O39" s="457"/>
      <c r="P39" s="483"/>
      <c r="Q39" s="463">
        <v>0</v>
      </c>
      <c r="R39" s="462">
        <v>0</v>
      </c>
      <c r="S39" s="462">
        <f>Q39-R39</f>
        <v>0</v>
      </c>
      <c r="T39" s="461" t="str">
        <f>IF(ISERROR(S39/Q39),"-",S39/Q39)</f>
        <v>-</v>
      </c>
      <c r="U39" s="483"/>
      <c r="V39" s="493">
        <f>B39+G39+L39+Q39</f>
        <v>0</v>
      </c>
      <c r="W39" s="492">
        <f>C39+H39+M39+R39</f>
        <v>0</v>
      </c>
      <c r="X39" s="492">
        <f>V39-W39</f>
        <v>0</v>
      </c>
      <c r="Y39" s="457">
        <v>0</v>
      </c>
      <c r="Z39" s="470"/>
      <c r="AA39" s="493">
        <v>0</v>
      </c>
      <c r="AB39" s="492">
        <f>AA39-W39</f>
        <v>0</v>
      </c>
      <c r="AC39" s="457">
        <v>0</v>
      </c>
      <c r="AD39" s="482"/>
      <c r="AE39" s="491"/>
    </row>
    <row r="40" spans="1:31" ht="23.25" x14ac:dyDescent="0.25">
      <c r="A40" s="439" t="s">
        <v>45</v>
      </c>
      <c r="B40" s="435">
        <f>SUM(B32:B39)</f>
        <v>239386</v>
      </c>
      <c r="C40" s="434">
        <f>SUM(C32:C39)</f>
        <v>237688</v>
      </c>
      <c r="D40" s="434">
        <f>SUM(D32:D39)</f>
        <v>1698</v>
      </c>
      <c r="E40" s="433">
        <f>IF(ISERROR(D40/B40),"-",D40/B40)</f>
        <v>7.0931466334706291E-3</v>
      </c>
      <c r="F40" s="460"/>
      <c r="G40" s="435">
        <f>SUM(G32:G39)</f>
        <v>239385</v>
      </c>
      <c r="H40" s="434">
        <f>SUM(H32:H39)</f>
        <v>236729</v>
      </c>
      <c r="I40" s="434">
        <f>SUM(I32:I39)</f>
        <v>2656</v>
      </c>
      <c r="J40" s="490">
        <f>IF(ISERROR(I40/G40),"-",I40/G40)</f>
        <v>1.1095097854919899E-2</v>
      </c>
      <c r="K40" s="460"/>
      <c r="L40" s="435"/>
      <c r="M40" s="434"/>
      <c r="N40" s="434"/>
      <c r="O40" s="433"/>
      <c r="P40" s="460"/>
      <c r="Q40" s="435">
        <f>SUM(Q32:Q39)</f>
        <v>0</v>
      </c>
      <c r="R40" s="434">
        <f>SUM(R32:R39)</f>
        <v>0</v>
      </c>
      <c r="S40" s="434">
        <f>SUM(S32:S39)</f>
        <v>0</v>
      </c>
      <c r="T40" s="433" t="str">
        <f>IF(ISERROR(S40/Q40),"-",S40/Q40)</f>
        <v>-</v>
      </c>
      <c r="U40" s="460"/>
      <c r="V40" s="435">
        <f>SUM(V32:V39)</f>
        <v>478771</v>
      </c>
      <c r="W40" s="434">
        <f>SUM(W32:W39)</f>
        <v>474417</v>
      </c>
      <c r="X40" s="434">
        <f>SUM(X32:X39)</f>
        <v>4354</v>
      </c>
      <c r="Y40" s="433">
        <f>IF(ISERROR(X40/V40),"-",X40/V40)</f>
        <v>9.0941180647950686E-3</v>
      </c>
      <c r="Z40" s="460"/>
      <c r="AA40" s="438">
        <f>SUM(AA32:AA39)</f>
        <v>937032</v>
      </c>
      <c r="AB40" s="437">
        <f>SUM(AB32:AB39)</f>
        <v>462615</v>
      </c>
      <c r="AC40" s="436">
        <f>IF(ISERROR(AB40/AA40),"-",AB40/AA40)</f>
        <v>0.49370245626616804</v>
      </c>
      <c r="AD40" s="456"/>
      <c r="AE40" s="489"/>
    </row>
    <row r="41" spans="1:31" ht="23.25" x14ac:dyDescent="0.25">
      <c r="A41" s="488"/>
      <c r="B41" s="422"/>
      <c r="C41" s="423"/>
      <c r="D41" s="423"/>
      <c r="E41" s="420"/>
      <c r="F41" s="483"/>
      <c r="G41" s="486"/>
      <c r="H41" s="485"/>
      <c r="I41" s="485"/>
      <c r="J41" s="487"/>
      <c r="K41" s="483"/>
      <c r="L41" s="422"/>
      <c r="M41" s="423"/>
      <c r="N41" s="423"/>
      <c r="O41" s="420"/>
      <c r="P41" s="483"/>
      <c r="Q41" s="486"/>
      <c r="R41" s="485"/>
      <c r="S41" s="485"/>
      <c r="T41" s="484"/>
      <c r="U41" s="483"/>
      <c r="V41" s="422"/>
      <c r="W41" s="423"/>
      <c r="X41" s="423"/>
      <c r="Y41" s="420"/>
      <c r="Z41" s="483"/>
      <c r="AA41" s="422"/>
      <c r="AB41" s="423"/>
      <c r="AC41" s="420"/>
      <c r="AD41" s="482"/>
      <c r="AE41" s="396"/>
    </row>
    <row r="42" spans="1:31" ht="23.25" x14ac:dyDescent="0.25">
      <c r="A42" s="419" t="s">
        <v>46</v>
      </c>
      <c r="B42" s="475"/>
      <c r="C42" s="476"/>
      <c r="D42" s="476"/>
      <c r="E42" s="480"/>
      <c r="F42" s="444"/>
      <c r="G42" s="479"/>
      <c r="H42" s="478"/>
      <c r="I42" s="478"/>
      <c r="J42" s="481"/>
      <c r="K42" s="444"/>
      <c r="L42" s="475"/>
      <c r="M42" s="476"/>
      <c r="N42" s="476"/>
      <c r="O42" s="480"/>
      <c r="P42" s="444"/>
      <c r="Q42" s="479"/>
      <c r="R42" s="478"/>
      <c r="S42" s="478"/>
      <c r="T42" s="477"/>
      <c r="U42" s="444"/>
      <c r="V42" s="475"/>
      <c r="W42" s="476"/>
      <c r="X42" s="465"/>
      <c r="Y42" s="474"/>
      <c r="Z42" s="444"/>
      <c r="AA42" s="475"/>
      <c r="AB42" s="465"/>
      <c r="AC42" s="474"/>
      <c r="AD42" s="440"/>
      <c r="AE42" s="396"/>
    </row>
    <row r="43" spans="1:31" ht="23.25" x14ac:dyDescent="0.25">
      <c r="A43" s="468" t="s">
        <v>47</v>
      </c>
      <c r="B43" s="466">
        <v>1000</v>
      </c>
      <c r="C43" s="465">
        <v>2000</v>
      </c>
      <c r="D43" s="465">
        <f t="shared" ref="D43:D62" si="9">B43-C43</f>
        <v>-1000</v>
      </c>
      <c r="E43" s="408">
        <f>IF(ISERROR(D43/B43),"-",D43/B43)</f>
        <v>-1</v>
      </c>
      <c r="F43" s="460"/>
      <c r="G43" s="415">
        <v>1000</v>
      </c>
      <c r="H43" s="414">
        <v>1000</v>
      </c>
      <c r="I43" s="417">
        <f t="shared" ref="I43:I62" si="10">G43-H43</f>
        <v>0</v>
      </c>
      <c r="J43" s="467">
        <f>IF(ISERROR(I43/G43),"-",I43/G43)</f>
        <v>0</v>
      </c>
      <c r="K43" s="460"/>
      <c r="L43" s="466"/>
      <c r="M43" s="409"/>
      <c r="N43" s="465"/>
      <c r="O43" s="408"/>
      <c r="P43" s="460"/>
      <c r="Q43" s="415">
        <v>0</v>
      </c>
      <c r="R43" s="414">
        <v>0</v>
      </c>
      <c r="S43" s="414">
        <f t="shared" ref="S43:S62" si="11">Q43-R43</f>
        <v>0</v>
      </c>
      <c r="T43" s="416" t="str">
        <f t="shared" ref="T43:T62" si="12">IF(ISERROR(S43/Q43),"-",S43/Q43)</f>
        <v>-</v>
      </c>
      <c r="U43" s="460"/>
      <c r="V43" s="466">
        <f t="shared" ref="V43:V62" si="13">B43+G43+L43+Q43</f>
        <v>2000</v>
      </c>
      <c r="W43" s="465">
        <f t="shared" ref="W43:W62" si="14">C43+H43+M43+R43</f>
        <v>3000</v>
      </c>
      <c r="X43" s="465">
        <f t="shared" ref="X43:X62" si="15">V43-W43</f>
        <v>-1000</v>
      </c>
      <c r="Y43" s="408">
        <f>IF(ISERROR(X43/V43),"-",X43/V43)</f>
        <v>-0.5</v>
      </c>
      <c r="Z43" s="460"/>
      <c r="AA43" s="466">
        <v>3670</v>
      </c>
      <c r="AB43" s="465">
        <f t="shared" ref="AB43:AB51" si="16">AA43-W43</f>
        <v>670</v>
      </c>
      <c r="AC43" s="408">
        <f>IF(ISERROR(AB43/AA43),"-",AB43/AA43)</f>
        <v>0.18256130790190736</v>
      </c>
      <c r="AD43" s="456"/>
      <c r="AE43" s="473"/>
    </row>
    <row r="44" spans="1:31" ht="23.25" x14ac:dyDescent="0.25">
      <c r="A44" s="468" t="s">
        <v>48</v>
      </c>
      <c r="B44" s="410">
        <v>0</v>
      </c>
      <c r="C44" s="409">
        <v>0</v>
      </c>
      <c r="D44" s="409">
        <f t="shared" si="9"/>
        <v>0</v>
      </c>
      <c r="E44" s="408">
        <v>0</v>
      </c>
      <c r="F44" s="412"/>
      <c r="G44" s="415">
        <v>34572</v>
      </c>
      <c r="H44" s="414">
        <v>11089</v>
      </c>
      <c r="I44" s="414">
        <f t="shared" si="10"/>
        <v>23483</v>
      </c>
      <c r="J44" s="467">
        <f>IF(ISERROR(I44/G44),"-",I44/G44)</f>
        <v>0.67924910332060628</v>
      </c>
      <c r="K44" s="412"/>
      <c r="L44" s="466"/>
      <c r="M44" s="409"/>
      <c r="N44" s="465"/>
      <c r="O44" s="408"/>
      <c r="P44" s="412"/>
      <c r="Q44" s="415">
        <v>0</v>
      </c>
      <c r="R44" s="414">
        <v>0</v>
      </c>
      <c r="S44" s="414">
        <f t="shared" si="11"/>
        <v>0</v>
      </c>
      <c r="T44" s="416" t="str">
        <f t="shared" si="12"/>
        <v>-</v>
      </c>
      <c r="U44" s="412"/>
      <c r="V44" s="466">
        <f t="shared" si="13"/>
        <v>34572</v>
      </c>
      <c r="W44" s="465">
        <f t="shared" si="14"/>
        <v>11089</v>
      </c>
      <c r="X44" s="465">
        <f t="shared" si="15"/>
        <v>23483</v>
      </c>
      <c r="Y44" s="408">
        <f>IF(ISERROR(X44/V44),"-",X44/V44)</f>
        <v>0.67924910332060628</v>
      </c>
      <c r="Z44" s="412"/>
      <c r="AA44" s="466">
        <v>69144</v>
      </c>
      <c r="AB44" s="465">
        <f t="shared" si="16"/>
        <v>58055</v>
      </c>
      <c r="AC44" s="408">
        <f>IF(ISERROR(AB44/AA44),"-",AB44/AA44)</f>
        <v>0.83962455166030314</v>
      </c>
      <c r="AD44" s="407"/>
      <c r="AE44" s="396"/>
    </row>
    <row r="45" spans="1:31" ht="23.25" x14ac:dyDescent="0.25">
      <c r="A45" s="468" t="s">
        <v>49</v>
      </c>
      <c r="B45" s="410">
        <v>0</v>
      </c>
      <c r="C45" s="409">
        <v>0</v>
      </c>
      <c r="D45" s="409">
        <f t="shared" si="9"/>
        <v>0</v>
      </c>
      <c r="E45" s="408">
        <v>0</v>
      </c>
      <c r="F45" s="412"/>
      <c r="G45" s="418">
        <v>0</v>
      </c>
      <c r="H45" s="417">
        <v>0</v>
      </c>
      <c r="I45" s="417">
        <f t="shared" si="10"/>
        <v>0</v>
      </c>
      <c r="J45" s="467">
        <v>0</v>
      </c>
      <c r="K45" s="412"/>
      <c r="L45" s="410"/>
      <c r="M45" s="409"/>
      <c r="N45" s="409"/>
      <c r="O45" s="408"/>
      <c r="P45" s="412"/>
      <c r="Q45" s="415">
        <v>0</v>
      </c>
      <c r="R45" s="414">
        <v>0</v>
      </c>
      <c r="S45" s="414">
        <f t="shared" si="11"/>
        <v>0</v>
      </c>
      <c r="T45" s="413" t="str">
        <f t="shared" si="12"/>
        <v>-</v>
      </c>
      <c r="U45" s="412"/>
      <c r="V45" s="410">
        <f t="shared" si="13"/>
        <v>0</v>
      </c>
      <c r="W45" s="409">
        <f t="shared" si="14"/>
        <v>0</v>
      </c>
      <c r="X45" s="409">
        <f t="shared" si="15"/>
        <v>0</v>
      </c>
      <c r="Y45" s="408">
        <v>0</v>
      </c>
      <c r="Z45" s="411"/>
      <c r="AA45" s="410">
        <v>0</v>
      </c>
      <c r="AB45" s="409">
        <f t="shared" si="16"/>
        <v>0</v>
      </c>
      <c r="AC45" s="408">
        <v>0</v>
      </c>
      <c r="AD45" s="407"/>
      <c r="AE45" s="396"/>
    </row>
    <row r="46" spans="1:31" ht="23.25" x14ac:dyDescent="0.25">
      <c r="A46" s="468" t="s">
        <v>50</v>
      </c>
      <c r="B46" s="466">
        <v>375</v>
      </c>
      <c r="C46" s="465">
        <v>149</v>
      </c>
      <c r="D46" s="465">
        <f t="shared" si="9"/>
        <v>226</v>
      </c>
      <c r="E46" s="408">
        <f>IF(ISERROR(D46/B46),"-",D46/B46)</f>
        <v>0.60266666666666668</v>
      </c>
      <c r="F46" s="412"/>
      <c r="G46" s="415">
        <v>375</v>
      </c>
      <c r="H46" s="414">
        <v>315</v>
      </c>
      <c r="I46" s="414">
        <f t="shared" si="10"/>
        <v>60</v>
      </c>
      <c r="J46" s="467">
        <f>IF(ISERROR(I46/G46),"-",I46/G46)</f>
        <v>0.16</v>
      </c>
      <c r="K46" s="412"/>
      <c r="L46" s="466"/>
      <c r="M46" s="465"/>
      <c r="N46" s="465"/>
      <c r="O46" s="408"/>
      <c r="P46" s="412"/>
      <c r="Q46" s="415">
        <v>0</v>
      </c>
      <c r="R46" s="414">
        <v>0</v>
      </c>
      <c r="S46" s="414">
        <f t="shared" si="11"/>
        <v>0</v>
      </c>
      <c r="T46" s="416" t="str">
        <f t="shared" si="12"/>
        <v>-</v>
      </c>
      <c r="U46" s="412"/>
      <c r="V46" s="466">
        <f t="shared" si="13"/>
        <v>750</v>
      </c>
      <c r="W46" s="465">
        <f t="shared" si="14"/>
        <v>464</v>
      </c>
      <c r="X46" s="465">
        <f t="shared" si="15"/>
        <v>286</v>
      </c>
      <c r="Y46" s="408">
        <f>IF(ISERROR(X46/V46),"-",X46/V46)</f>
        <v>0.38133333333333336</v>
      </c>
      <c r="Z46" s="412"/>
      <c r="AA46" s="466">
        <v>1500</v>
      </c>
      <c r="AB46" s="465">
        <f t="shared" si="16"/>
        <v>1036</v>
      </c>
      <c r="AC46" s="408">
        <f>IF(ISERROR(AB46/AA46),"-",AB46/AA46)</f>
        <v>0.69066666666666665</v>
      </c>
      <c r="AD46" s="407"/>
      <c r="AE46" s="473"/>
    </row>
    <row r="47" spans="1:31" ht="23.25" x14ac:dyDescent="0.25">
      <c r="A47" s="468" t="s">
        <v>51</v>
      </c>
      <c r="B47" s="410">
        <v>0</v>
      </c>
      <c r="C47" s="409">
        <v>0</v>
      </c>
      <c r="D47" s="409">
        <f t="shared" si="9"/>
        <v>0</v>
      </c>
      <c r="E47" s="408">
        <v>0</v>
      </c>
      <c r="F47" s="412"/>
      <c r="G47" s="418">
        <v>0</v>
      </c>
      <c r="H47" s="417">
        <v>0</v>
      </c>
      <c r="I47" s="417">
        <f t="shared" si="10"/>
        <v>0</v>
      </c>
      <c r="J47" s="467">
        <v>0</v>
      </c>
      <c r="K47" s="412"/>
      <c r="L47" s="410"/>
      <c r="M47" s="409"/>
      <c r="N47" s="409"/>
      <c r="O47" s="408"/>
      <c r="P47" s="412"/>
      <c r="Q47" s="415">
        <v>0</v>
      </c>
      <c r="R47" s="414">
        <v>0</v>
      </c>
      <c r="S47" s="414">
        <f t="shared" si="11"/>
        <v>0</v>
      </c>
      <c r="T47" s="413" t="str">
        <f t="shared" si="12"/>
        <v>-</v>
      </c>
      <c r="U47" s="412"/>
      <c r="V47" s="410">
        <f t="shared" si="13"/>
        <v>0</v>
      </c>
      <c r="W47" s="409">
        <f t="shared" si="14"/>
        <v>0</v>
      </c>
      <c r="X47" s="409">
        <f t="shared" si="15"/>
        <v>0</v>
      </c>
      <c r="Y47" s="408">
        <v>0</v>
      </c>
      <c r="Z47" s="411"/>
      <c r="AA47" s="410">
        <v>0</v>
      </c>
      <c r="AB47" s="409">
        <f t="shared" si="16"/>
        <v>0</v>
      </c>
      <c r="AC47" s="408">
        <v>0</v>
      </c>
      <c r="AD47" s="407"/>
      <c r="AE47" s="396"/>
    </row>
    <row r="48" spans="1:31" ht="23.25" x14ac:dyDescent="0.25">
      <c r="A48" s="468" t="s">
        <v>52</v>
      </c>
      <c r="B48" s="466">
        <v>4414</v>
      </c>
      <c r="C48" s="465">
        <v>4139</v>
      </c>
      <c r="D48" s="465">
        <f t="shared" si="9"/>
        <v>275</v>
      </c>
      <c r="E48" s="408">
        <f>IF(ISERROR(D48/B48),"-",D48/B48)</f>
        <v>6.230176710466697E-2</v>
      </c>
      <c r="F48" s="460"/>
      <c r="G48" s="415">
        <v>4414</v>
      </c>
      <c r="H48" s="414">
        <v>3333</v>
      </c>
      <c r="I48" s="414">
        <f t="shared" si="10"/>
        <v>1081</v>
      </c>
      <c r="J48" s="467">
        <f>IF(ISERROR(I48/G48),"-",I48/G48)</f>
        <v>0.24490258269143633</v>
      </c>
      <c r="K48" s="460"/>
      <c r="L48" s="466"/>
      <c r="M48" s="465"/>
      <c r="N48" s="465"/>
      <c r="O48" s="408"/>
      <c r="P48" s="460"/>
      <c r="Q48" s="415">
        <v>0</v>
      </c>
      <c r="R48" s="414">
        <v>0</v>
      </c>
      <c r="S48" s="414">
        <f t="shared" si="11"/>
        <v>0</v>
      </c>
      <c r="T48" s="416" t="str">
        <f t="shared" si="12"/>
        <v>-</v>
      </c>
      <c r="U48" s="460"/>
      <c r="V48" s="466">
        <f t="shared" si="13"/>
        <v>8828</v>
      </c>
      <c r="W48" s="465">
        <f t="shared" si="14"/>
        <v>7472</v>
      </c>
      <c r="X48" s="465">
        <f t="shared" si="15"/>
        <v>1356</v>
      </c>
      <c r="Y48" s="408">
        <f>IF(ISERROR(X48/V48),"-",X48/V48)</f>
        <v>0.15360217489805164</v>
      </c>
      <c r="Z48" s="460"/>
      <c r="AA48" s="466">
        <v>17656</v>
      </c>
      <c r="AB48" s="465">
        <f t="shared" si="16"/>
        <v>10184</v>
      </c>
      <c r="AC48" s="408">
        <f>IF(ISERROR(AB48/AA48),"-",AB48/AA48)</f>
        <v>0.57680108744902581</v>
      </c>
      <c r="AD48" s="456"/>
      <c r="AE48" s="472"/>
    </row>
    <row r="49" spans="1:31" ht="23.25" x14ac:dyDescent="0.25">
      <c r="A49" s="468" t="s">
        <v>53</v>
      </c>
      <c r="B49" s="466">
        <v>28667</v>
      </c>
      <c r="C49" s="465">
        <v>28182</v>
      </c>
      <c r="D49" s="465">
        <f t="shared" si="9"/>
        <v>485</v>
      </c>
      <c r="E49" s="408">
        <f>IF(ISERROR(D49/B49),"-",D49/B49)</f>
        <v>1.6918407925489237E-2</v>
      </c>
      <c r="F49" s="460"/>
      <c r="G49" s="415">
        <v>47667</v>
      </c>
      <c r="H49" s="414">
        <v>57421</v>
      </c>
      <c r="I49" s="414">
        <f t="shared" si="10"/>
        <v>-9754</v>
      </c>
      <c r="J49" s="467">
        <f>IF(ISERROR(I49/G49),"-",I49/G49)</f>
        <v>-0.20462793966475759</v>
      </c>
      <c r="K49" s="460"/>
      <c r="L49" s="466"/>
      <c r="M49" s="465"/>
      <c r="N49" s="465"/>
      <c r="O49" s="408"/>
      <c r="P49" s="460"/>
      <c r="Q49" s="415">
        <v>0</v>
      </c>
      <c r="R49" s="414">
        <v>0</v>
      </c>
      <c r="S49" s="414">
        <f t="shared" si="11"/>
        <v>0</v>
      </c>
      <c r="T49" s="416" t="str">
        <f t="shared" si="12"/>
        <v>-</v>
      </c>
      <c r="U49" s="460"/>
      <c r="V49" s="466">
        <f t="shared" si="13"/>
        <v>76334</v>
      </c>
      <c r="W49" s="465">
        <f t="shared" si="14"/>
        <v>85603</v>
      </c>
      <c r="X49" s="465">
        <f t="shared" si="15"/>
        <v>-9269</v>
      </c>
      <c r="Y49" s="408">
        <f>IF(ISERROR(X49/V49),"-",X49/V49)</f>
        <v>-0.1214268871014227</v>
      </c>
      <c r="Z49" s="460"/>
      <c r="AA49" s="466">
        <v>190666</v>
      </c>
      <c r="AB49" s="465">
        <f t="shared" si="16"/>
        <v>105063</v>
      </c>
      <c r="AC49" s="408">
        <f>IF(ISERROR(AB49/AA49),"-",AB49/AA49)</f>
        <v>0.55103164696380058</v>
      </c>
      <c r="AD49" s="456"/>
      <c r="AE49" s="471"/>
    </row>
    <row r="50" spans="1:31" ht="23.25" x14ac:dyDescent="0.25">
      <c r="A50" s="468" t="s">
        <v>54</v>
      </c>
      <c r="B50" s="466">
        <v>58150</v>
      </c>
      <c r="C50" s="465">
        <v>58131</v>
      </c>
      <c r="D50" s="465">
        <f t="shared" si="9"/>
        <v>19</v>
      </c>
      <c r="E50" s="408">
        <f>IF(ISERROR(D50/B50),"-",D50/B50)</f>
        <v>3.2674118658641447E-4</v>
      </c>
      <c r="F50" s="412"/>
      <c r="G50" s="415">
        <v>51564</v>
      </c>
      <c r="H50" s="414">
        <v>52056</v>
      </c>
      <c r="I50" s="414">
        <f t="shared" si="10"/>
        <v>-492</v>
      </c>
      <c r="J50" s="467">
        <f>IF(ISERROR(I50/G50),"-",I50/G50)</f>
        <v>-9.5415406097277174E-3</v>
      </c>
      <c r="K50" s="412"/>
      <c r="L50" s="466"/>
      <c r="M50" s="465"/>
      <c r="N50" s="465"/>
      <c r="O50" s="408"/>
      <c r="P50" s="412"/>
      <c r="Q50" s="415">
        <v>0</v>
      </c>
      <c r="R50" s="414">
        <v>0</v>
      </c>
      <c r="S50" s="414">
        <f t="shared" si="11"/>
        <v>0</v>
      </c>
      <c r="T50" s="416" t="str">
        <f t="shared" si="12"/>
        <v>-</v>
      </c>
      <c r="U50" s="412"/>
      <c r="V50" s="466">
        <f t="shared" si="13"/>
        <v>109714</v>
      </c>
      <c r="W50" s="465">
        <f t="shared" si="14"/>
        <v>110187</v>
      </c>
      <c r="X50" s="465">
        <f t="shared" si="15"/>
        <v>-473</v>
      </c>
      <c r="Y50" s="408">
        <f>IF(ISERROR(X50/V50),"-",X50/V50)</f>
        <v>-4.3112091437738122E-3</v>
      </c>
      <c r="Z50" s="412"/>
      <c r="AA50" s="466">
        <v>206254</v>
      </c>
      <c r="AB50" s="465">
        <f t="shared" si="16"/>
        <v>96067</v>
      </c>
      <c r="AC50" s="408">
        <f>IF(ISERROR(AB50/AA50),"-",AB50/AA50)</f>
        <v>0.46577036081724477</v>
      </c>
      <c r="AD50" s="407"/>
      <c r="AE50" s="396"/>
    </row>
    <row r="51" spans="1:31" ht="23.25" x14ac:dyDescent="0.25">
      <c r="A51" s="468" t="s">
        <v>55</v>
      </c>
      <c r="B51" s="466">
        <v>2295</v>
      </c>
      <c r="C51" s="465">
        <v>2295</v>
      </c>
      <c r="D51" s="409">
        <f t="shared" si="9"/>
        <v>0</v>
      </c>
      <c r="E51" s="408">
        <f>IF(ISERROR(D51/B51),"-",D51/B51)</f>
        <v>0</v>
      </c>
      <c r="F51" s="412"/>
      <c r="G51" s="415">
        <v>2036</v>
      </c>
      <c r="H51" s="414">
        <v>2036</v>
      </c>
      <c r="I51" s="417">
        <f t="shared" si="10"/>
        <v>0</v>
      </c>
      <c r="J51" s="467">
        <f>IF(ISERROR(I51/G51),"-",I51/G51)</f>
        <v>0</v>
      </c>
      <c r="K51" s="412"/>
      <c r="L51" s="466"/>
      <c r="M51" s="465"/>
      <c r="N51" s="409"/>
      <c r="O51" s="408"/>
      <c r="P51" s="412"/>
      <c r="Q51" s="415">
        <v>0</v>
      </c>
      <c r="R51" s="414">
        <v>0</v>
      </c>
      <c r="S51" s="414">
        <f t="shared" si="11"/>
        <v>0</v>
      </c>
      <c r="T51" s="416" t="str">
        <f t="shared" si="12"/>
        <v>-</v>
      </c>
      <c r="U51" s="412"/>
      <c r="V51" s="466">
        <f t="shared" si="13"/>
        <v>4331</v>
      </c>
      <c r="W51" s="465">
        <f t="shared" si="14"/>
        <v>4331</v>
      </c>
      <c r="X51" s="409">
        <f t="shared" si="15"/>
        <v>0</v>
      </c>
      <c r="Y51" s="408">
        <f>IF(ISERROR(X51/V51),"-",X51/V51)</f>
        <v>0</v>
      </c>
      <c r="Z51" s="412"/>
      <c r="AA51" s="466">
        <v>8029</v>
      </c>
      <c r="AB51" s="465">
        <f t="shared" si="16"/>
        <v>3698</v>
      </c>
      <c r="AC51" s="408">
        <f>IF(ISERROR(AB51/AA51),"-",AB51/AA51)</f>
        <v>0.46058039606426704</v>
      </c>
      <c r="AD51" s="407"/>
      <c r="AE51" s="469"/>
    </row>
    <row r="52" spans="1:31" ht="23.25" x14ac:dyDescent="0.25">
      <c r="A52" s="468" t="s">
        <v>56</v>
      </c>
      <c r="B52" s="466">
        <v>29700</v>
      </c>
      <c r="C52" s="465">
        <v>29700</v>
      </c>
      <c r="D52" s="409">
        <f t="shared" si="9"/>
        <v>0</v>
      </c>
      <c r="E52" s="408">
        <f>IF(ISERROR(D52/B52),"-",D52/B52)</f>
        <v>0</v>
      </c>
      <c r="F52" s="412"/>
      <c r="G52" s="415">
        <v>29700</v>
      </c>
      <c r="H52" s="414">
        <v>29700</v>
      </c>
      <c r="I52" s="417">
        <f t="shared" si="10"/>
        <v>0</v>
      </c>
      <c r="J52" s="467">
        <f>IF(ISERROR(I52/G52),"-",I52/G52)</f>
        <v>0</v>
      </c>
      <c r="K52" s="412"/>
      <c r="L52" s="466"/>
      <c r="M52" s="465"/>
      <c r="N52" s="409"/>
      <c r="O52" s="408"/>
      <c r="P52" s="412"/>
      <c r="Q52" s="415">
        <v>0</v>
      </c>
      <c r="R52" s="414">
        <v>0</v>
      </c>
      <c r="S52" s="414">
        <f t="shared" si="11"/>
        <v>0</v>
      </c>
      <c r="T52" s="416" t="str">
        <f t="shared" si="12"/>
        <v>-</v>
      </c>
      <c r="U52" s="412"/>
      <c r="V52" s="466">
        <f t="shared" si="13"/>
        <v>59400</v>
      </c>
      <c r="W52" s="465">
        <f t="shared" si="14"/>
        <v>59400</v>
      </c>
      <c r="X52" s="409">
        <f t="shared" si="15"/>
        <v>0</v>
      </c>
      <c r="Y52" s="408">
        <f>IF(ISERROR(X52/V52),"-",X52/V52)</f>
        <v>0</v>
      </c>
      <c r="Z52" s="412"/>
      <c r="AA52" s="466">
        <v>118800</v>
      </c>
      <c r="AB52" s="409">
        <v>0</v>
      </c>
      <c r="AC52" s="408">
        <f>IF(ISERROR(AB52/AA52),"-",AB52/AA52)</f>
        <v>0</v>
      </c>
      <c r="AD52" s="407"/>
      <c r="AE52" s="469"/>
    </row>
    <row r="53" spans="1:31" ht="23.25" x14ac:dyDescent="0.25">
      <c r="A53" s="468" t="s">
        <v>57</v>
      </c>
      <c r="B53" s="410">
        <v>0</v>
      </c>
      <c r="C53" s="409">
        <v>0</v>
      </c>
      <c r="D53" s="409">
        <f t="shared" si="9"/>
        <v>0</v>
      </c>
      <c r="E53" s="408">
        <v>0</v>
      </c>
      <c r="F53" s="412"/>
      <c r="G53" s="418">
        <v>0</v>
      </c>
      <c r="H53" s="417">
        <v>0</v>
      </c>
      <c r="I53" s="417">
        <f t="shared" si="10"/>
        <v>0</v>
      </c>
      <c r="J53" s="467">
        <v>0</v>
      </c>
      <c r="K53" s="412"/>
      <c r="L53" s="410"/>
      <c r="M53" s="409"/>
      <c r="N53" s="409"/>
      <c r="O53" s="408"/>
      <c r="P53" s="412"/>
      <c r="Q53" s="415">
        <v>0</v>
      </c>
      <c r="R53" s="414">
        <v>0</v>
      </c>
      <c r="S53" s="414">
        <f t="shared" si="11"/>
        <v>0</v>
      </c>
      <c r="T53" s="413" t="str">
        <f t="shared" si="12"/>
        <v>-</v>
      </c>
      <c r="U53" s="412"/>
      <c r="V53" s="410">
        <f t="shared" si="13"/>
        <v>0</v>
      </c>
      <c r="W53" s="409">
        <f t="shared" si="14"/>
        <v>0</v>
      </c>
      <c r="X53" s="409">
        <f t="shared" si="15"/>
        <v>0</v>
      </c>
      <c r="Y53" s="408">
        <v>0</v>
      </c>
      <c r="Z53" s="411"/>
      <c r="AA53" s="410">
        <v>0</v>
      </c>
      <c r="AB53" s="409">
        <f t="shared" ref="AB53:AB62" si="17">AA53-W53</f>
        <v>0</v>
      </c>
      <c r="AC53" s="408">
        <v>0</v>
      </c>
      <c r="AD53" s="407"/>
      <c r="AE53" s="396"/>
    </row>
    <row r="54" spans="1:31" ht="23.25" x14ac:dyDescent="0.25">
      <c r="A54" s="468" t="s">
        <v>58</v>
      </c>
      <c r="B54" s="410">
        <v>0</v>
      </c>
      <c r="C54" s="409">
        <v>0</v>
      </c>
      <c r="D54" s="409">
        <f t="shared" si="9"/>
        <v>0</v>
      </c>
      <c r="E54" s="408">
        <v>0</v>
      </c>
      <c r="F54" s="412"/>
      <c r="G54" s="418">
        <v>0</v>
      </c>
      <c r="H54" s="417">
        <v>0</v>
      </c>
      <c r="I54" s="417">
        <f t="shared" si="10"/>
        <v>0</v>
      </c>
      <c r="J54" s="467">
        <v>0</v>
      </c>
      <c r="K54" s="412"/>
      <c r="L54" s="410"/>
      <c r="M54" s="409"/>
      <c r="N54" s="409"/>
      <c r="O54" s="408"/>
      <c r="P54" s="412"/>
      <c r="Q54" s="415">
        <v>0</v>
      </c>
      <c r="R54" s="414">
        <v>0</v>
      </c>
      <c r="S54" s="414">
        <f t="shared" si="11"/>
        <v>0</v>
      </c>
      <c r="T54" s="413" t="str">
        <f t="shared" si="12"/>
        <v>-</v>
      </c>
      <c r="U54" s="412"/>
      <c r="V54" s="410">
        <f t="shared" si="13"/>
        <v>0</v>
      </c>
      <c r="W54" s="409">
        <f t="shared" si="14"/>
        <v>0</v>
      </c>
      <c r="X54" s="409">
        <f t="shared" si="15"/>
        <v>0</v>
      </c>
      <c r="Y54" s="408">
        <v>0</v>
      </c>
      <c r="Z54" s="411"/>
      <c r="AA54" s="410">
        <v>0</v>
      </c>
      <c r="AB54" s="409">
        <f t="shared" si="17"/>
        <v>0</v>
      </c>
      <c r="AC54" s="408">
        <v>0</v>
      </c>
      <c r="AD54" s="407"/>
      <c r="AE54" s="396"/>
    </row>
    <row r="55" spans="1:31" ht="23.25" x14ac:dyDescent="0.25">
      <c r="A55" s="468" t="s">
        <v>59</v>
      </c>
      <c r="B55" s="466">
        <v>750</v>
      </c>
      <c r="C55" s="465">
        <v>289</v>
      </c>
      <c r="D55" s="465">
        <f t="shared" si="9"/>
        <v>461</v>
      </c>
      <c r="E55" s="408">
        <f>IF(ISERROR(D55/B55),"-",D55/B55)</f>
        <v>0.61466666666666669</v>
      </c>
      <c r="F55" s="412"/>
      <c r="G55" s="415">
        <v>750</v>
      </c>
      <c r="H55" s="417">
        <v>0</v>
      </c>
      <c r="I55" s="414">
        <f t="shared" si="10"/>
        <v>750</v>
      </c>
      <c r="J55" s="467">
        <f>IF(ISERROR(I55/G55),"-",I55/G55)</f>
        <v>1</v>
      </c>
      <c r="K55" s="412"/>
      <c r="L55" s="466"/>
      <c r="M55" s="465"/>
      <c r="N55" s="465"/>
      <c r="O55" s="408"/>
      <c r="P55" s="412"/>
      <c r="Q55" s="415">
        <v>0</v>
      </c>
      <c r="R55" s="414">
        <v>0</v>
      </c>
      <c r="S55" s="414">
        <f t="shared" si="11"/>
        <v>0</v>
      </c>
      <c r="T55" s="416" t="str">
        <f t="shared" si="12"/>
        <v>-</v>
      </c>
      <c r="U55" s="412"/>
      <c r="V55" s="466">
        <f t="shared" si="13"/>
        <v>1500</v>
      </c>
      <c r="W55" s="465">
        <f t="shared" si="14"/>
        <v>289</v>
      </c>
      <c r="X55" s="465">
        <f t="shared" si="15"/>
        <v>1211</v>
      </c>
      <c r="Y55" s="408">
        <f>IF(ISERROR(X55/V55),"-",X55/V55)</f>
        <v>0.80733333333333335</v>
      </c>
      <c r="Z55" s="412"/>
      <c r="AA55" s="466">
        <v>3000</v>
      </c>
      <c r="AB55" s="465">
        <f t="shared" si="17"/>
        <v>2711</v>
      </c>
      <c r="AC55" s="408">
        <f>IF(ISERROR(AB55/AA55),"-",AB55/AA55)</f>
        <v>0.90366666666666662</v>
      </c>
      <c r="AD55" s="407"/>
      <c r="AE55" s="469"/>
    </row>
    <row r="56" spans="1:31" ht="23.25" x14ac:dyDescent="0.25">
      <c r="A56" s="468" t="s">
        <v>60</v>
      </c>
      <c r="B56" s="410">
        <v>0</v>
      </c>
      <c r="C56" s="409">
        <v>0</v>
      </c>
      <c r="D56" s="409">
        <f t="shared" si="9"/>
        <v>0</v>
      </c>
      <c r="E56" s="408">
        <v>0</v>
      </c>
      <c r="F56" s="412"/>
      <c r="G56" s="418">
        <v>0</v>
      </c>
      <c r="H56" s="417">
        <v>0</v>
      </c>
      <c r="I56" s="417">
        <f t="shared" si="10"/>
        <v>0</v>
      </c>
      <c r="J56" s="467">
        <v>0</v>
      </c>
      <c r="K56" s="412"/>
      <c r="L56" s="466"/>
      <c r="M56" s="465"/>
      <c r="N56" s="409"/>
      <c r="O56" s="408"/>
      <c r="P56" s="412"/>
      <c r="Q56" s="415">
        <v>0</v>
      </c>
      <c r="R56" s="414">
        <v>0</v>
      </c>
      <c r="S56" s="414">
        <f t="shared" si="11"/>
        <v>0</v>
      </c>
      <c r="T56" s="416" t="str">
        <f t="shared" si="12"/>
        <v>-</v>
      </c>
      <c r="U56" s="412"/>
      <c r="V56" s="466">
        <f t="shared" si="13"/>
        <v>0</v>
      </c>
      <c r="W56" s="465">
        <f t="shared" si="14"/>
        <v>0</v>
      </c>
      <c r="X56" s="409">
        <f t="shared" si="15"/>
        <v>0</v>
      </c>
      <c r="Y56" s="408" t="str">
        <f>IF(ISERROR(X56/V56),"-",X56/V56)</f>
        <v>-</v>
      </c>
      <c r="Z56" s="412"/>
      <c r="AA56" s="466">
        <v>3000</v>
      </c>
      <c r="AB56" s="409">
        <f t="shared" si="17"/>
        <v>3000</v>
      </c>
      <c r="AC56" s="408">
        <f>IF(ISERROR(AB56/AA56),"-",AB56/AA56)</f>
        <v>1</v>
      </c>
      <c r="AD56" s="407"/>
      <c r="AE56" s="469"/>
    </row>
    <row r="57" spans="1:31" ht="23.25" x14ac:dyDescent="0.25">
      <c r="A57" s="468" t="s">
        <v>61</v>
      </c>
      <c r="B57" s="410">
        <v>0</v>
      </c>
      <c r="C57" s="409">
        <v>0</v>
      </c>
      <c r="D57" s="409">
        <f t="shared" si="9"/>
        <v>0</v>
      </c>
      <c r="E57" s="408">
        <v>0</v>
      </c>
      <c r="F57" s="460"/>
      <c r="G57" s="418">
        <v>0</v>
      </c>
      <c r="H57" s="417">
        <v>0</v>
      </c>
      <c r="I57" s="417">
        <f t="shared" si="10"/>
        <v>0</v>
      </c>
      <c r="J57" s="467">
        <v>0</v>
      </c>
      <c r="K57" s="460"/>
      <c r="L57" s="410"/>
      <c r="M57" s="409"/>
      <c r="N57" s="409"/>
      <c r="O57" s="408"/>
      <c r="P57" s="460"/>
      <c r="Q57" s="415">
        <v>0</v>
      </c>
      <c r="R57" s="414">
        <v>0</v>
      </c>
      <c r="S57" s="414">
        <f t="shared" si="11"/>
        <v>0</v>
      </c>
      <c r="T57" s="416" t="str">
        <f t="shared" si="12"/>
        <v>-</v>
      </c>
      <c r="U57" s="460"/>
      <c r="V57" s="410">
        <f t="shared" si="13"/>
        <v>0</v>
      </c>
      <c r="W57" s="409">
        <f t="shared" si="14"/>
        <v>0</v>
      </c>
      <c r="X57" s="409">
        <f t="shared" si="15"/>
        <v>0</v>
      </c>
      <c r="Y57" s="408">
        <v>0</v>
      </c>
      <c r="Z57" s="470"/>
      <c r="AA57" s="410">
        <v>0</v>
      </c>
      <c r="AB57" s="409">
        <f t="shared" si="17"/>
        <v>0</v>
      </c>
      <c r="AC57" s="408">
        <v>0</v>
      </c>
      <c r="AD57" s="456"/>
      <c r="AE57" s="469"/>
    </row>
    <row r="58" spans="1:31" ht="23.25" x14ac:dyDescent="0.25">
      <c r="A58" s="468" t="s">
        <v>62</v>
      </c>
      <c r="B58" s="466">
        <v>3269</v>
      </c>
      <c r="C58" s="465">
        <v>3229</v>
      </c>
      <c r="D58" s="465">
        <f t="shared" si="9"/>
        <v>40</v>
      </c>
      <c r="E58" s="408">
        <f>IF(ISERROR(D58/B58),"-",D58/B58)</f>
        <v>1.2236157846436219E-2</v>
      </c>
      <c r="F58" s="460"/>
      <c r="G58" s="415">
        <v>3269</v>
      </c>
      <c r="H58" s="414">
        <v>2129</v>
      </c>
      <c r="I58" s="414">
        <f t="shared" si="10"/>
        <v>1140</v>
      </c>
      <c r="J58" s="467">
        <f>IF(ISERROR(I58/G58),"-",I58/G58)</f>
        <v>0.34873049862343225</v>
      </c>
      <c r="K58" s="460"/>
      <c r="L58" s="466"/>
      <c r="M58" s="465"/>
      <c r="N58" s="465"/>
      <c r="O58" s="408"/>
      <c r="P58" s="460"/>
      <c r="Q58" s="415">
        <v>0</v>
      </c>
      <c r="R58" s="414">
        <v>0</v>
      </c>
      <c r="S58" s="414">
        <f t="shared" si="11"/>
        <v>0</v>
      </c>
      <c r="T58" s="416" t="str">
        <f t="shared" si="12"/>
        <v>-</v>
      </c>
      <c r="U58" s="460"/>
      <c r="V58" s="466">
        <f t="shared" si="13"/>
        <v>6538</v>
      </c>
      <c r="W58" s="465">
        <f t="shared" si="14"/>
        <v>5358</v>
      </c>
      <c r="X58" s="465">
        <f t="shared" si="15"/>
        <v>1180</v>
      </c>
      <c r="Y58" s="408">
        <f>IF(ISERROR(X58/V58),"-",X58/V58)</f>
        <v>0.18048332823493424</v>
      </c>
      <c r="Z58" s="460"/>
      <c r="AA58" s="466">
        <v>13074</v>
      </c>
      <c r="AB58" s="465">
        <f t="shared" si="17"/>
        <v>7716</v>
      </c>
      <c r="AC58" s="408">
        <f>IF(ISERROR(AB58/AA58),"-",AB58/AA58)</f>
        <v>0.59017898118402934</v>
      </c>
      <c r="AD58" s="456"/>
      <c r="AE58" s="469"/>
    </row>
    <row r="59" spans="1:31" ht="23.25" x14ac:dyDescent="0.25">
      <c r="A59" s="468" t="s">
        <v>63</v>
      </c>
      <c r="B59" s="466">
        <v>1628</v>
      </c>
      <c r="C59" s="465">
        <v>810</v>
      </c>
      <c r="D59" s="465">
        <f t="shared" si="9"/>
        <v>818</v>
      </c>
      <c r="E59" s="408">
        <f>IF(ISERROR(D59/B59),"-",D59/B59)</f>
        <v>0.50245700245700242</v>
      </c>
      <c r="F59" s="460"/>
      <c r="G59" s="415">
        <v>1628</v>
      </c>
      <c r="H59" s="414">
        <v>360</v>
      </c>
      <c r="I59" s="414">
        <f t="shared" si="10"/>
        <v>1268</v>
      </c>
      <c r="J59" s="467">
        <f>IF(ISERROR(I59/G59),"-",I59/G59)</f>
        <v>0.77886977886977882</v>
      </c>
      <c r="K59" s="460"/>
      <c r="L59" s="466"/>
      <c r="M59" s="465"/>
      <c r="N59" s="465"/>
      <c r="O59" s="408"/>
      <c r="P59" s="460"/>
      <c r="Q59" s="415">
        <v>0</v>
      </c>
      <c r="R59" s="414">
        <v>0</v>
      </c>
      <c r="S59" s="414">
        <f t="shared" si="11"/>
        <v>0</v>
      </c>
      <c r="T59" s="416" t="str">
        <f t="shared" si="12"/>
        <v>-</v>
      </c>
      <c r="U59" s="460"/>
      <c r="V59" s="466">
        <f t="shared" si="13"/>
        <v>3256</v>
      </c>
      <c r="W59" s="465">
        <f t="shared" si="14"/>
        <v>1170</v>
      </c>
      <c r="X59" s="465">
        <f t="shared" si="15"/>
        <v>2086</v>
      </c>
      <c r="Y59" s="408">
        <f>IF(ISERROR(X59/V59),"-",X59/V59)</f>
        <v>0.64066339066339062</v>
      </c>
      <c r="Z59" s="460"/>
      <c r="AA59" s="466">
        <v>6510</v>
      </c>
      <c r="AB59" s="465">
        <f t="shared" si="17"/>
        <v>5340</v>
      </c>
      <c r="AC59" s="408">
        <f>IF(ISERROR(AB59/AA59),"-",AB59/AA59)</f>
        <v>0.82027649769585254</v>
      </c>
      <c r="AD59" s="456"/>
      <c r="AE59" s="469"/>
    </row>
    <row r="60" spans="1:31" ht="23.25" x14ac:dyDescent="0.25">
      <c r="A60" s="468" t="s">
        <v>64</v>
      </c>
      <c r="B60" s="410">
        <v>0</v>
      </c>
      <c r="C60" s="409">
        <v>0</v>
      </c>
      <c r="D60" s="409">
        <f t="shared" si="9"/>
        <v>0</v>
      </c>
      <c r="E60" s="408">
        <v>0</v>
      </c>
      <c r="F60" s="470"/>
      <c r="G60" s="418">
        <v>0</v>
      </c>
      <c r="H60" s="417">
        <v>0</v>
      </c>
      <c r="I60" s="417">
        <f t="shared" si="10"/>
        <v>0</v>
      </c>
      <c r="J60" s="467">
        <v>0</v>
      </c>
      <c r="K60" s="470"/>
      <c r="L60" s="410"/>
      <c r="M60" s="409"/>
      <c r="N60" s="409"/>
      <c r="O60" s="408"/>
      <c r="P60" s="460"/>
      <c r="Q60" s="415">
        <v>0</v>
      </c>
      <c r="R60" s="414">
        <v>0</v>
      </c>
      <c r="S60" s="414">
        <f t="shared" si="11"/>
        <v>0</v>
      </c>
      <c r="T60" s="416" t="str">
        <f t="shared" si="12"/>
        <v>-</v>
      </c>
      <c r="U60" s="460"/>
      <c r="V60" s="410">
        <f t="shared" si="13"/>
        <v>0</v>
      </c>
      <c r="W60" s="409">
        <f t="shared" si="14"/>
        <v>0</v>
      </c>
      <c r="X60" s="409">
        <f t="shared" si="15"/>
        <v>0</v>
      </c>
      <c r="Y60" s="408">
        <v>0</v>
      </c>
      <c r="Z60" s="470"/>
      <c r="AA60" s="410">
        <v>0</v>
      </c>
      <c r="AB60" s="409">
        <f t="shared" si="17"/>
        <v>0</v>
      </c>
      <c r="AC60" s="408">
        <v>0</v>
      </c>
      <c r="AD60" s="456"/>
      <c r="AE60" s="469"/>
    </row>
    <row r="61" spans="1:31" ht="23.25" x14ac:dyDescent="0.25">
      <c r="A61" s="468" t="s">
        <v>65</v>
      </c>
      <c r="B61" s="466">
        <v>40659</v>
      </c>
      <c r="C61" s="465">
        <v>37943</v>
      </c>
      <c r="D61" s="465">
        <f t="shared" si="9"/>
        <v>2716</v>
      </c>
      <c r="E61" s="408">
        <f>IF(ISERROR(D61/B61),"-",D61/B61)</f>
        <v>6.679947859022603E-2</v>
      </c>
      <c r="F61" s="412"/>
      <c r="G61" s="415">
        <v>25659</v>
      </c>
      <c r="H61" s="414">
        <v>11785</v>
      </c>
      <c r="I61" s="414">
        <f t="shared" si="10"/>
        <v>13874</v>
      </c>
      <c r="J61" s="467">
        <f>IF(ISERROR(I61/G61),"-",I61/G61)</f>
        <v>0.54070696441794297</v>
      </c>
      <c r="K61" s="412"/>
      <c r="L61" s="466"/>
      <c r="M61" s="465"/>
      <c r="N61" s="465"/>
      <c r="O61" s="408"/>
      <c r="P61" s="412"/>
      <c r="Q61" s="415">
        <v>0</v>
      </c>
      <c r="R61" s="414">
        <v>0</v>
      </c>
      <c r="S61" s="414">
        <f t="shared" si="11"/>
        <v>0</v>
      </c>
      <c r="T61" s="416" t="str">
        <f t="shared" si="12"/>
        <v>-</v>
      </c>
      <c r="U61" s="412"/>
      <c r="V61" s="466">
        <f t="shared" si="13"/>
        <v>66318</v>
      </c>
      <c r="W61" s="465">
        <f t="shared" si="14"/>
        <v>49728</v>
      </c>
      <c r="X61" s="465">
        <f t="shared" si="15"/>
        <v>16590</v>
      </c>
      <c r="Y61" s="408">
        <f>IF(ISERROR(X61/V61),"-",X61/V61)</f>
        <v>0.25015832805573146</v>
      </c>
      <c r="Z61" s="412"/>
      <c r="AA61" s="410">
        <v>321290</v>
      </c>
      <c r="AB61" s="465">
        <f t="shared" si="17"/>
        <v>271562</v>
      </c>
      <c r="AC61" s="408">
        <v>0</v>
      </c>
      <c r="AD61" s="407"/>
      <c r="AE61" s="469"/>
    </row>
    <row r="62" spans="1:31" ht="23.25" x14ac:dyDescent="0.25">
      <c r="A62" s="468" t="s">
        <v>66</v>
      </c>
      <c r="B62" s="410">
        <v>0</v>
      </c>
      <c r="C62" s="409">
        <v>0</v>
      </c>
      <c r="D62" s="409">
        <f t="shared" si="9"/>
        <v>0</v>
      </c>
      <c r="E62" s="408">
        <v>0</v>
      </c>
      <c r="F62" s="412"/>
      <c r="G62" s="418">
        <v>0</v>
      </c>
      <c r="H62" s="417">
        <v>0</v>
      </c>
      <c r="I62" s="417">
        <f t="shared" si="10"/>
        <v>0</v>
      </c>
      <c r="J62" s="467">
        <v>0</v>
      </c>
      <c r="K62" s="412"/>
      <c r="L62" s="410"/>
      <c r="M62" s="409"/>
      <c r="N62" s="409"/>
      <c r="O62" s="408"/>
      <c r="P62" s="412"/>
      <c r="Q62" s="415">
        <v>0</v>
      </c>
      <c r="R62" s="414">
        <v>0</v>
      </c>
      <c r="S62" s="414">
        <f t="shared" si="11"/>
        <v>0</v>
      </c>
      <c r="T62" s="413" t="str">
        <f t="shared" si="12"/>
        <v>-</v>
      </c>
      <c r="U62" s="412"/>
      <c r="V62" s="410">
        <f t="shared" si="13"/>
        <v>0</v>
      </c>
      <c r="W62" s="409">
        <f t="shared" si="14"/>
        <v>0</v>
      </c>
      <c r="X62" s="409">
        <f t="shared" si="15"/>
        <v>0</v>
      </c>
      <c r="Y62" s="408">
        <v>0</v>
      </c>
      <c r="Z62" s="412"/>
      <c r="AA62" s="410">
        <v>0</v>
      </c>
      <c r="AB62" s="409">
        <f t="shared" si="17"/>
        <v>0</v>
      </c>
      <c r="AC62" s="408">
        <v>0</v>
      </c>
      <c r="AD62" s="407"/>
      <c r="AE62" s="396"/>
    </row>
    <row r="63" spans="1:31" ht="23.25" x14ac:dyDescent="0.25">
      <c r="A63" s="468" t="s">
        <v>67</v>
      </c>
      <c r="B63" s="410"/>
      <c r="C63" s="409"/>
      <c r="D63" s="409"/>
      <c r="E63" s="408"/>
      <c r="F63" s="412"/>
      <c r="G63" s="418"/>
      <c r="H63" s="417"/>
      <c r="I63" s="417"/>
      <c r="J63" s="467"/>
      <c r="K63" s="412"/>
      <c r="L63" s="410"/>
      <c r="M63" s="409"/>
      <c r="N63" s="409"/>
      <c r="O63" s="408"/>
      <c r="P63" s="412"/>
      <c r="Q63" s="415"/>
      <c r="R63" s="414"/>
      <c r="S63" s="414"/>
      <c r="T63" s="413"/>
      <c r="U63" s="412"/>
      <c r="V63" s="410"/>
      <c r="W63" s="409"/>
      <c r="X63" s="409"/>
      <c r="Y63" s="408"/>
      <c r="Z63" s="412"/>
      <c r="AA63" s="410"/>
      <c r="AB63" s="409"/>
      <c r="AC63" s="408"/>
      <c r="AD63" s="407"/>
      <c r="AE63" s="396"/>
    </row>
    <row r="64" spans="1:31" ht="23.25" x14ac:dyDescent="0.25">
      <c r="A64" s="468" t="s">
        <v>68</v>
      </c>
      <c r="B64" s="410">
        <v>0</v>
      </c>
      <c r="C64" s="409">
        <v>0</v>
      </c>
      <c r="D64" s="409">
        <f>B64-C64</f>
        <v>0</v>
      </c>
      <c r="E64" s="408">
        <v>0</v>
      </c>
      <c r="F64" s="412"/>
      <c r="G64" s="418">
        <v>0</v>
      </c>
      <c r="H64" s="417">
        <v>0</v>
      </c>
      <c r="I64" s="417">
        <f>G64-H64</f>
        <v>0</v>
      </c>
      <c r="J64" s="467">
        <v>0</v>
      </c>
      <c r="K64" s="412"/>
      <c r="L64" s="410"/>
      <c r="M64" s="409"/>
      <c r="N64" s="409"/>
      <c r="O64" s="408"/>
      <c r="P64" s="412"/>
      <c r="Q64" s="415">
        <v>0</v>
      </c>
      <c r="R64" s="414">
        <v>0</v>
      </c>
      <c r="S64" s="414">
        <f>Q64-R64</f>
        <v>0</v>
      </c>
      <c r="T64" s="416" t="str">
        <f>IF(ISERROR(S64/Q64),"-",S64/Q64)</f>
        <v>-</v>
      </c>
      <c r="U64" s="412"/>
      <c r="V64" s="410">
        <f>B64+G64+L64+Q64</f>
        <v>0</v>
      </c>
      <c r="W64" s="409">
        <f>C64+H64+M64+R64</f>
        <v>0</v>
      </c>
      <c r="X64" s="409">
        <f>V64-W64</f>
        <v>0</v>
      </c>
      <c r="Y64" s="408">
        <v>0</v>
      </c>
      <c r="Z64" s="412"/>
      <c r="AA64" s="410">
        <v>0</v>
      </c>
      <c r="AB64" s="409">
        <f>AA64-W64</f>
        <v>0</v>
      </c>
      <c r="AC64" s="408">
        <v>0</v>
      </c>
      <c r="AD64" s="407"/>
      <c r="AE64" s="469"/>
    </row>
    <row r="65" spans="1:31" ht="23.25" x14ac:dyDescent="0.25">
      <c r="A65" s="468" t="s">
        <v>69</v>
      </c>
      <c r="B65" s="410"/>
      <c r="C65" s="409"/>
      <c r="D65" s="409"/>
      <c r="E65" s="408"/>
      <c r="F65" s="412"/>
      <c r="G65" s="418"/>
      <c r="H65" s="417"/>
      <c r="I65" s="417"/>
      <c r="J65" s="467"/>
      <c r="K65" s="412"/>
      <c r="L65" s="410"/>
      <c r="M65" s="409"/>
      <c r="N65" s="409"/>
      <c r="O65" s="408"/>
      <c r="P65" s="412"/>
      <c r="Q65" s="415"/>
      <c r="R65" s="414"/>
      <c r="S65" s="414"/>
      <c r="T65" s="416"/>
      <c r="U65" s="412"/>
      <c r="V65" s="410"/>
      <c r="W65" s="409"/>
      <c r="X65" s="409"/>
      <c r="Y65" s="408"/>
      <c r="Z65" s="412"/>
      <c r="AA65" s="410"/>
      <c r="AB65" s="409"/>
      <c r="AC65" s="408"/>
      <c r="AD65" s="407"/>
      <c r="AE65" s="469"/>
    </row>
    <row r="66" spans="1:31" ht="23.25" x14ac:dyDescent="0.25">
      <c r="A66" s="468" t="s">
        <v>70</v>
      </c>
      <c r="B66" s="466">
        <v>24000</v>
      </c>
      <c r="C66" s="465">
        <v>24000</v>
      </c>
      <c r="D66" s="409">
        <f>B66-C66</f>
        <v>0</v>
      </c>
      <c r="E66" s="408">
        <f>IF(ISERROR(D66/B66),"-",D66/B66)</f>
        <v>0</v>
      </c>
      <c r="F66" s="460"/>
      <c r="G66" s="415">
        <v>24000</v>
      </c>
      <c r="H66" s="414">
        <v>24000</v>
      </c>
      <c r="I66" s="417">
        <f>G66-H66</f>
        <v>0</v>
      </c>
      <c r="J66" s="467">
        <f>IF(ISERROR(I66/G66),"-",I66/G66)</f>
        <v>0</v>
      </c>
      <c r="K66" s="460"/>
      <c r="L66" s="466"/>
      <c r="M66" s="465"/>
      <c r="N66" s="409"/>
      <c r="O66" s="408"/>
      <c r="P66" s="460"/>
      <c r="Q66" s="415">
        <v>0</v>
      </c>
      <c r="R66" s="414">
        <v>0</v>
      </c>
      <c r="S66" s="414">
        <f>Q66-R66</f>
        <v>0</v>
      </c>
      <c r="T66" s="413" t="str">
        <f>IF(ISERROR(S66/Q66),"-",S66/Q66)</f>
        <v>-</v>
      </c>
      <c r="U66" s="460"/>
      <c r="V66" s="466">
        <f>B66+G66+L66+Q66</f>
        <v>48000</v>
      </c>
      <c r="W66" s="465">
        <f>C66+H66+M66+R66</f>
        <v>48000</v>
      </c>
      <c r="X66" s="409">
        <f>V66-W66</f>
        <v>0</v>
      </c>
      <c r="Y66" s="408">
        <f>IF(ISERROR(X66/V66),"-",X66/V66)</f>
        <v>0</v>
      </c>
      <c r="Z66" s="460"/>
      <c r="AA66" s="466">
        <v>96000</v>
      </c>
      <c r="AB66" s="465">
        <f>AA66-W66</f>
        <v>48000</v>
      </c>
      <c r="AC66" s="408">
        <f>IF(ISERROR(AB66/AA66),"-",AB66/AA66)</f>
        <v>0.5</v>
      </c>
      <c r="AD66" s="456"/>
      <c r="AE66" s="396"/>
    </row>
    <row r="67" spans="1:31" ht="23.25" x14ac:dyDescent="0.25">
      <c r="A67" s="468" t="s">
        <v>71</v>
      </c>
      <c r="B67" s="466"/>
      <c r="C67" s="409"/>
      <c r="D67" s="465"/>
      <c r="E67" s="408"/>
      <c r="F67" s="412"/>
      <c r="G67" s="415"/>
      <c r="H67" s="414"/>
      <c r="I67" s="414"/>
      <c r="J67" s="467"/>
      <c r="K67" s="412"/>
      <c r="L67" s="466"/>
      <c r="M67" s="465"/>
      <c r="N67" s="465"/>
      <c r="O67" s="408"/>
      <c r="P67" s="412"/>
      <c r="Q67" s="415"/>
      <c r="R67" s="414"/>
      <c r="S67" s="414"/>
      <c r="T67" s="413"/>
      <c r="U67" s="412"/>
      <c r="V67" s="466"/>
      <c r="W67" s="465"/>
      <c r="X67" s="465"/>
      <c r="Y67" s="408"/>
      <c r="Z67" s="412"/>
      <c r="AA67" s="410"/>
      <c r="AB67" s="465"/>
      <c r="AC67" s="408"/>
      <c r="AD67" s="407"/>
      <c r="AE67" s="396"/>
    </row>
    <row r="68" spans="1:31" ht="23.25" x14ac:dyDescent="0.25">
      <c r="A68" s="468" t="s">
        <v>72</v>
      </c>
      <c r="B68" s="466">
        <v>600</v>
      </c>
      <c r="C68" s="409">
        <v>0</v>
      </c>
      <c r="D68" s="465">
        <f>B68-C68</f>
        <v>600</v>
      </c>
      <c r="E68" s="408">
        <f>IF(ISERROR(D68/B68),"-",D68/B68)</f>
        <v>1</v>
      </c>
      <c r="F68" s="412"/>
      <c r="G68" s="415">
        <v>600</v>
      </c>
      <c r="H68" s="414">
        <v>268</v>
      </c>
      <c r="I68" s="414">
        <f>G68-H68</f>
        <v>332</v>
      </c>
      <c r="J68" s="467">
        <f>IF(ISERROR(I68/G68),"-",I68/G68)</f>
        <v>0.55333333333333334</v>
      </c>
      <c r="K68" s="412"/>
      <c r="L68" s="466"/>
      <c r="M68" s="465"/>
      <c r="N68" s="465"/>
      <c r="O68" s="408"/>
      <c r="P68" s="412"/>
      <c r="Q68" s="415">
        <v>0</v>
      </c>
      <c r="R68" s="414">
        <v>0</v>
      </c>
      <c r="S68" s="414">
        <f>Q68-R68</f>
        <v>0</v>
      </c>
      <c r="T68" s="413" t="str">
        <f>IF(ISERROR(S68/Q68),"-",S68/Q68)</f>
        <v>-</v>
      </c>
      <c r="U68" s="412"/>
      <c r="V68" s="466">
        <f>B68+G68+L68+Q68</f>
        <v>1200</v>
      </c>
      <c r="W68" s="465">
        <f>C68+H68+M68+R68</f>
        <v>268</v>
      </c>
      <c r="X68" s="465">
        <f>V68-W68</f>
        <v>932</v>
      </c>
      <c r="Y68" s="408">
        <f>IF(ISERROR(X68/V68),"-",X68/V68)</f>
        <v>0.77666666666666662</v>
      </c>
      <c r="Z68" s="412"/>
      <c r="AA68" s="410">
        <v>0</v>
      </c>
      <c r="AB68" s="465">
        <f>AA68-W68</f>
        <v>-268</v>
      </c>
      <c r="AC68" s="408">
        <v>0</v>
      </c>
      <c r="AD68" s="407"/>
      <c r="AE68" s="396"/>
    </row>
    <row r="69" spans="1:31" ht="23.25" x14ac:dyDescent="0.25">
      <c r="A69" s="468" t="s">
        <v>73</v>
      </c>
      <c r="B69" s="466">
        <v>249</v>
      </c>
      <c r="C69" s="465">
        <v>249</v>
      </c>
      <c r="D69" s="409">
        <f>B69-C69</f>
        <v>0</v>
      </c>
      <c r="E69" s="408">
        <f>IF(ISERROR(D69/B69),"-",D69/B69)</f>
        <v>0</v>
      </c>
      <c r="F69" s="412"/>
      <c r="G69" s="418">
        <v>0</v>
      </c>
      <c r="H69" s="417">
        <v>0</v>
      </c>
      <c r="I69" s="417">
        <f>G69-H69</f>
        <v>0</v>
      </c>
      <c r="J69" s="467">
        <v>0</v>
      </c>
      <c r="K69" s="412"/>
      <c r="L69" s="410"/>
      <c r="M69" s="409"/>
      <c r="N69" s="409"/>
      <c r="O69" s="408"/>
      <c r="P69" s="412"/>
      <c r="Q69" s="415">
        <v>0</v>
      </c>
      <c r="R69" s="414">
        <v>0</v>
      </c>
      <c r="S69" s="414">
        <f>Q69-R69</f>
        <v>0</v>
      </c>
      <c r="T69" s="416" t="str">
        <f>IF(ISERROR(S69/Q69),"-",S69/Q69)</f>
        <v>-</v>
      </c>
      <c r="U69" s="412"/>
      <c r="V69" s="466">
        <f>B69+G69+L69+Q69</f>
        <v>249</v>
      </c>
      <c r="W69" s="465">
        <f>C69+H69+M69+R69</f>
        <v>249</v>
      </c>
      <c r="X69" s="409">
        <f>V69-W69</f>
        <v>0</v>
      </c>
      <c r="Y69" s="408">
        <f>IF(ISERROR(X69/V69),"-",X69/V69)</f>
        <v>0</v>
      </c>
      <c r="Z69" s="412"/>
      <c r="AA69" s="466">
        <v>249</v>
      </c>
      <c r="AB69" s="409">
        <f>AA69-W69</f>
        <v>0</v>
      </c>
      <c r="AC69" s="408">
        <f>IF(ISERROR(AB69/AA69),"-",AB69/AA69)</f>
        <v>0</v>
      </c>
      <c r="AD69" s="407"/>
      <c r="AE69" s="469"/>
    </row>
    <row r="70" spans="1:31" ht="23.25" x14ac:dyDescent="0.25">
      <c r="A70" s="468" t="s">
        <v>74</v>
      </c>
      <c r="B70" s="466"/>
      <c r="C70" s="465"/>
      <c r="D70" s="409"/>
      <c r="E70" s="408"/>
      <c r="F70" s="412"/>
      <c r="G70" s="418"/>
      <c r="H70" s="417"/>
      <c r="I70" s="417"/>
      <c r="J70" s="467"/>
      <c r="K70" s="412"/>
      <c r="L70" s="410"/>
      <c r="M70" s="409"/>
      <c r="N70" s="409"/>
      <c r="O70" s="408"/>
      <c r="P70" s="412"/>
      <c r="Q70" s="415"/>
      <c r="R70" s="414"/>
      <c r="S70" s="414"/>
      <c r="T70" s="416"/>
      <c r="U70" s="412"/>
      <c r="V70" s="466"/>
      <c r="W70" s="465"/>
      <c r="X70" s="409"/>
      <c r="Y70" s="408"/>
      <c r="Z70" s="412"/>
      <c r="AA70" s="466"/>
      <c r="AB70" s="409"/>
      <c r="AC70" s="408"/>
      <c r="AD70" s="407"/>
      <c r="AE70" s="469"/>
    </row>
    <row r="71" spans="1:31" ht="23.25" x14ac:dyDescent="0.25">
      <c r="A71" s="468" t="s">
        <v>75</v>
      </c>
      <c r="B71" s="410">
        <v>0</v>
      </c>
      <c r="C71" s="409">
        <v>0</v>
      </c>
      <c r="D71" s="409">
        <f>B71-C71</f>
        <v>0</v>
      </c>
      <c r="E71" s="408">
        <v>0</v>
      </c>
      <c r="F71" s="460"/>
      <c r="G71" s="418">
        <v>0</v>
      </c>
      <c r="H71" s="417">
        <v>0</v>
      </c>
      <c r="I71" s="417">
        <f>G71-H71</f>
        <v>0</v>
      </c>
      <c r="J71" s="467">
        <v>0</v>
      </c>
      <c r="K71" s="460"/>
      <c r="L71" s="410"/>
      <c r="M71" s="409"/>
      <c r="N71" s="409"/>
      <c r="O71" s="408"/>
      <c r="P71" s="460"/>
      <c r="Q71" s="415">
        <v>0</v>
      </c>
      <c r="R71" s="414">
        <v>0</v>
      </c>
      <c r="S71" s="414">
        <f>Q71-R71</f>
        <v>0</v>
      </c>
      <c r="T71" s="416" t="str">
        <f>IF(ISERROR(S71/Q71),"-",S71/Q71)</f>
        <v>-</v>
      </c>
      <c r="U71" s="460"/>
      <c r="V71" s="410">
        <f t="shared" ref="V71:W74" si="18">B71+G71+L71+Q71</f>
        <v>0</v>
      </c>
      <c r="W71" s="409">
        <f t="shared" si="18"/>
        <v>0</v>
      </c>
      <c r="X71" s="409">
        <f>V71-W71</f>
        <v>0</v>
      </c>
      <c r="Y71" s="408">
        <v>0</v>
      </c>
      <c r="Z71" s="460"/>
      <c r="AA71" s="410">
        <v>0</v>
      </c>
      <c r="AB71" s="409">
        <f>AA71-W71</f>
        <v>0</v>
      </c>
      <c r="AC71" s="408">
        <v>0</v>
      </c>
      <c r="AD71" s="456"/>
      <c r="AE71" s="469"/>
    </row>
    <row r="72" spans="1:31" ht="23.25" x14ac:dyDescent="0.25">
      <c r="A72" s="468" t="s">
        <v>76</v>
      </c>
      <c r="B72" s="466">
        <v>862</v>
      </c>
      <c r="C72" s="409">
        <v>0</v>
      </c>
      <c r="D72" s="465">
        <f>B72-C72</f>
        <v>862</v>
      </c>
      <c r="E72" s="408">
        <f>IF(ISERROR(D72/B72),"-",D72/B72)</f>
        <v>1</v>
      </c>
      <c r="F72" s="412"/>
      <c r="G72" s="415">
        <v>1500</v>
      </c>
      <c r="H72" s="414">
        <v>2362</v>
      </c>
      <c r="I72" s="414">
        <f>G72-H72</f>
        <v>-862</v>
      </c>
      <c r="J72" s="467">
        <f>IF(ISERROR(I72/G72),"-",I72/G72)</f>
        <v>-0.57466666666666666</v>
      </c>
      <c r="K72" s="412"/>
      <c r="L72" s="410"/>
      <c r="M72" s="409"/>
      <c r="N72" s="409"/>
      <c r="O72" s="408"/>
      <c r="P72" s="412"/>
      <c r="Q72" s="415">
        <v>0</v>
      </c>
      <c r="R72" s="414">
        <v>0</v>
      </c>
      <c r="S72" s="414">
        <f>Q72-R72</f>
        <v>0</v>
      </c>
      <c r="T72" s="416" t="str">
        <f>IF(ISERROR(S72/Q72),"-",S72/Q72)</f>
        <v>-</v>
      </c>
      <c r="U72" s="412"/>
      <c r="V72" s="466">
        <f t="shared" si="18"/>
        <v>2362</v>
      </c>
      <c r="W72" s="465">
        <f t="shared" si="18"/>
        <v>2362</v>
      </c>
      <c r="X72" s="409">
        <f>V72-W72</f>
        <v>0</v>
      </c>
      <c r="Y72" s="408">
        <f>IF(ISERROR(X72/V72),"-",X72/V72)</f>
        <v>0</v>
      </c>
      <c r="Z72" s="412"/>
      <c r="AA72" s="466">
        <v>2362</v>
      </c>
      <c r="AB72" s="409">
        <f>AA72-W72</f>
        <v>0</v>
      </c>
      <c r="AC72" s="408">
        <f>IF(ISERROR(AB72/AA72),"-",AB72/AA72)</f>
        <v>0</v>
      </c>
      <c r="AD72" s="407"/>
      <c r="AE72" s="469"/>
    </row>
    <row r="73" spans="1:31" ht="23.25" x14ac:dyDescent="0.25">
      <c r="A73" s="468" t="s">
        <v>77</v>
      </c>
      <c r="B73" s="466">
        <v>5623</v>
      </c>
      <c r="C73" s="465">
        <v>4763</v>
      </c>
      <c r="D73" s="465">
        <f>B73-C73</f>
        <v>860</v>
      </c>
      <c r="E73" s="408">
        <f>IF(ISERROR(D73/B73),"-",D73/B73)</f>
        <v>0.15294326871776631</v>
      </c>
      <c r="F73" s="460"/>
      <c r="G73" s="415">
        <v>5623</v>
      </c>
      <c r="H73" s="414">
        <v>5093</v>
      </c>
      <c r="I73" s="414">
        <f>G73-H73</f>
        <v>530</v>
      </c>
      <c r="J73" s="467">
        <f>IF(ISERROR(I73/G73),"-",I73/G73)</f>
        <v>9.4255735372576921E-2</v>
      </c>
      <c r="K73" s="460"/>
      <c r="L73" s="466"/>
      <c r="M73" s="465"/>
      <c r="N73" s="465"/>
      <c r="O73" s="408"/>
      <c r="P73" s="460"/>
      <c r="Q73" s="415">
        <v>0</v>
      </c>
      <c r="R73" s="414">
        <v>0</v>
      </c>
      <c r="S73" s="414">
        <f>Q73-R73</f>
        <v>0</v>
      </c>
      <c r="T73" s="416" t="str">
        <f>IF(ISERROR(S73/Q73),"-",S73/Q73)</f>
        <v>-</v>
      </c>
      <c r="U73" s="460"/>
      <c r="V73" s="466">
        <f t="shared" si="18"/>
        <v>11246</v>
      </c>
      <c r="W73" s="465">
        <f t="shared" si="18"/>
        <v>9856</v>
      </c>
      <c r="X73" s="465">
        <f>V73-W73</f>
        <v>1390</v>
      </c>
      <c r="Y73" s="408">
        <f>IF(ISERROR(X73/V73),"-",X73/V73)</f>
        <v>0.12359950204517162</v>
      </c>
      <c r="Z73" s="460"/>
      <c r="AA73" s="466">
        <v>22491</v>
      </c>
      <c r="AB73" s="465">
        <f>AA73-W73</f>
        <v>12635</v>
      </c>
      <c r="AC73" s="408">
        <f>IF(ISERROR(AB73/AA73),"-",AB73/AA73)</f>
        <v>0.56178026766262057</v>
      </c>
      <c r="AD73" s="456"/>
      <c r="AE73" s="469"/>
    </row>
    <row r="74" spans="1:31" ht="23.25" x14ac:dyDescent="0.25">
      <c r="A74" s="468" t="s">
        <v>160</v>
      </c>
      <c r="B74" s="410">
        <v>0</v>
      </c>
      <c r="C74" s="409">
        <v>0</v>
      </c>
      <c r="D74" s="409">
        <f>B74-C74</f>
        <v>0</v>
      </c>
      <c r="E74" s="408">
        <v>0</v>
      </c>
      <c r="F74" s="412"/>
      <c r="G74" s="418">
        <v>0</v>
      </c>
      <c r="H74" s="417">
        <v>0</v>
      </c>
      <c r="I74" s="417">
        <f>G74-H74</f>
        <v>0</v>
      </c>
      <c r="J74" s="467">
        <v>0</v>
      </c>
      <c r="K74" s="412"/>
      <c r="L74" s="410"/>
      <c r="M74" s="409"/>
      <c r="N74" s="409"/>
      <c r="O74" s="408"/>
      <c r="P74" s="412"/>
      <c r="Q74" s="415">
        <v>0</v>
      </c>
      <c r="R74" s="414">
        <v>0</v>
      </c>
      <c r="S74" s="414">
        <f>Q74-R74</f>
        <v>0</v>
      </c>
      <c r="T74" s="416"/>
      <c r="U74" s="412"/>
      <c r="V74" s="410">
        <f t="shared" si="18"/>
        <v>0</v>
      </c>
      <c r="W74" s="409">
        <f t="shared" si="18"/>
        <v>0</v>
      </c>
      <c r="X74" s="409">
        <f>V74-W74</f>
        <v>0</v>
      </c>
      <c r="Y74" s="408">
        <v>0</v>
      </c>
      <c r="Z74" s="412"/>
      <c r="AA74" s="410">
        <v>0</v>
      </c>
      <c r="AB74" s="409">
        <f>AA74-W74</f>
        <v>0</v>
      </c>
      <c r="AC74" s="408">
        <v>0</v>
      </c>
      <c r="AD74" s="407"/>
      <c r="AE74" s="396"/>
    </row>
    <row r="75" spans="1:31" ht="23.25" x14ac:dyDescent="0.25">
      <c r="A75" s="464"/>
      <c r="B75" s="459"/>
      <c r="C75" s="458"/>
      <c r="D75" s="458" t="s">
        <v>173</v>
      </c>
      <c r="E75" s="457" t="s">
        <v>173</v>
      </c>
      <c r="F75" s="460"/>
      <c r="G75" s="463"/>
      <c r="H75" s="462"/>
      <c r="I75" s="462" t="s">
        <v>173</v>
      </c>
      <c r="J75" s="461" t="s">
        <v>173</v>
      </c>
      <c r="K75" s="460"/>
      <c r="L75" s="459"/>
      <c r="M75" s="458"/>
      <c r="N75" s="458"/>
      <c r="O75" s="457"/>
      <c r="P75" s="460"/>
      <c r="Q75" s="463"/>
      <c r="R75" s="462"/>
      <c r="S75" s="462"/>
      <c r="T75" s="461"/>
      <c r="U75" s="460"/>
      <c r="V75" s="459" t="s">
        <v>173</v>
      </c>
      <c r="W75" s="458" t="s">
        <v>173</v>
      </c>
      <c r="X75" s="458" t="s">
        <v>173</v>
      </c>
      <c r="Y75" s="457" t="s">
        <v>173</v>
      </c>
      <c r="Z75" s="460"/>
      <c r="AA75" s="459" t="s">
        <v>173</v>
      </c>
      <c r="AB75" s="458" t="s">
        <v>173</v>
      </c>
      <c r="AC75" s="457" t="s">
        <v>173</v>
      </c>
      <c r="AD75" s="456"/>
      <c r="AE75" s="396"/>
    </row>
    <row r="76" spans="1:31" ht="23.25" x14ac:dyDescent="0.25">
      <c r="A76" s="439" t="s">
        <v>79</v>
      </c>
      <c r="B76" s="435">
        <f>SUM(B42:B74)</f>
        <v>202241</v>
      </c>
      <c r="C76" s="434">
        <f>SUM(C42:C74)</f>
        <v>195879</v>
      </c>
      <c r="D76" s="434">
        <f>SUM(D42:D74)</f>
        <v>6362</v>
      </c>
      <c r="E76" s="433">
        <f>IF(ISERROR(D76/B76),"-",D76/B76)</f>
        <v>3.1457518505149794E-2</v>
      </c>
      <c r="F76" s="455"/>
      <c r="G76" s="435">
        <f>SUM(G42:G74)</f>
        <v>234357</v>
      </c>
      <c r="H76" s="434">
        <f>SUM(H42:H74)</f>
        <v>202947</v>
      </c>
      <c r="I76" s="434">
        <f>SUM(I42:I74)</f>
        <v>31410</v>
      </c>
      <c r="J76" s="433">
        <f>IF(ISERROR(I76/G76),"-",I76/G76)</f>
        <v>0.13402629321931925</v>
      </c>
      <c r="K76" s="455"/>
      <c r="L76" s="435"/>
      <c r="M76" s="434"/>
      <c r="N76" s="434"/>
      <c r="O76" s="433"/>
      <c r="P76" s="455"/>
      <c r="Q76" s="435">
        <f>SUM(Q42:Q74)</f>
        <v>0</v>
      </c>
      <c r="R76" s="434">
        <f>SUM(R42:R74)</f>
        <v>0</v>
      </c>
      <c r="S76" s="434">
        <f>SUM(S42:S74)</f>
        <v>0</v>
      </c>
      <c r="T76" s="433" t="str">
        <f>IF(ISERROR(S76/Q76),"-",S76/Q76)</f>
        <v>-</v>
      </c>
      <c r="U76" s="455"/>
      <c r="V76" s="435">
        <f>SUM(V42:V74)</f>
        <v>436598</v>
      </c>
      <c r="W76" s="434">
        <f>SUM(W42:W74)</f>
        <v>398826</v>
      </c>
      <c r="X76" s="434">
        <f>SUM(X42:X74)</f>
        <v>37772</v>
      </c>
      <c r="Y76" s="433">
        <f>IF(ISERROR(X76/V76),"-",X76/V76)</f>
        <v>8.6514367908235953E-2</v>
      </c>
      <c r="Z76" s="455"/>
      <c r="AA76" s="435">
        <f>SUM(AA42:AA74)</f>
        <v>1083695</v>
      </c>
      <c r="AB76" s="434">
        <f>SUM(AB42:AB74)</f>
        <v>625469</v>
      </c>
      <c r="AC76" s="433">
        <f>IF(ISERROR(AB76/AA76),"-",AB76/AA76)</f>
        <v>0.5771633162467299</v>
      </c>
      <c r="AD76" s="454"/>
      <c r="AE76" s="432"/>
    </row>
    <row r="77" spans="1:31" ht="23.25" x14ac:dyDescent="0.25">
      <c r="A77" s="453"/>
      <c r="B77" s="449"/>
      <c r="C77" s="442"/>
      <c r="D77" s="442"/>
      <c r="E77" s="441"/>
      <c r="F77" s="444"/>
      <c r="G77" s="448"/>
      <c r="H77" s="447"/>
      <c r="I77" s="447"/>
      <c r="J77" s="450"/>
      <c r="K77" s="444"/>
      <c r="L77" s="449"/>
      <c r="M77" s="442"/>
      <c r="N77" s="442"/>
      <c r="O77" s="441"/>
      <c r="P77" s="444"/>
      <c r="Q77" s="448"/>
      <c r="R77" s="447"/>
      <c r="S77" s="447"/>
      <c r="T77" s="452"/>
      <c r="U77" s="444"/>
      <c r="V77" s="443"/>
      <c r="W77" s="445"/>
      <c r="X77" s="442"/>
      <c r="Y77" s="441"/>
      <c r="Z77" s="444"/>
      <c r="AA77" s="443"/>
      <c r="AB77" s="442"/>
      <c r="AC77" s="441"/>
      <c r="AD77" s="440"/>
      <c r="AE77" s="396"/>
    </row>
    <row r="78" spans="1:31" ht="23.25" x14ac:dyDescent="0.25">
      <c r="A78" s="439" t="s">
        <v>80</v>
      </c>
      <c r="B78" s="435">
        <f>B40+B76+B77</f>
        <v>441627</v>
      </c>
      <c r="C78" s="434">
        <f>C40+C76+C77</f>
        <v>433567</v>
      </c>
      <c r="D78" s="434">
        <f>D40+D76+D77</f>
        <v>8060</v>
      </c>
      <c r="E78" s="433">
        <f>IF(ISERROR(D78/B78),"-",D78/B78)</f>
        <v>1.8250695722861147E-2</v>
      </c>
      <c r="F78" s="412"/>
      <c r="G78" s="435">
        <f>G40+G76+G77</f>
        <v>473742</v>
      </c>
      <c r="H78" s="434">
        <f>H40+H76+H77</f>
        <v>439676</v>
      </c>
      <c r="I78" s="434">
        <f>I40+I76+I77</f>
        <v>34066</v>
      </c>
      <c r="J78" s="433">
        <f>IF(ISERROR(I78/G78),"-",I78/G78)</f>
        <v>7.1908338293839261E-2</v>
      </c>
      <c r="K78" s="412"/>
      <c r="L78" s="435"/>
      <c r="M78" s="434"/>
      <c r="N78" s="434"/>
      <c r="O78" s="433"/>
      <c r="P78" s="412"/>
      <c r="Q78" s="435">
        <f>Q40+Q76+Q77</f>
        <v>0</v>
      </c>
      <c r="R78" s="434">
        <f>R40+R76+R77</f>
        <v>0</v>
      </c>
      <c r="S78" s="434">
        <f>S40+S76+S77</f>
        <v>0</v>
      </c>
      <c r="T78" s="433" t="str">
        <f>IF(ISERROR(S78/Q78),"-",S78/Q78)</f>
        <v>-</v>
      </c>
      <c r="U78" s="412"/>
      <c r="V78" s="435">
        <f>V40+V76+V77</f>
        <v>915369</v>
      </c>
      <c r="W78" s="434">
        <f>W40+W76+W77</f>
        <v>873243</v>
      </c>
      <c r="X78" s="434">
        <f>X40+X76+X77</f>
        <v>42126</v>
      </c>
      <c r="Y78" s="433">
        <f>IF(ISERROR(X78/V78),"-",X78/V78)</f>
        <v>4.6020785060451035E-2</v>
      </c>
      <c r="Z78" s="412"/>
      <c r="AA78" s="435">
        <f>AA40+AA76+AA77</f>
        <v>2020727</v>
      </c>
      <c r="AB78" s="434">
        <f>AB40+AB76+AB77</f>
        <v>1088084</v>
      </c>
      <c r="AC78" s="433">
        <f>IF(ISERROR(AB78/AA78),"-",AB78/AA78)</f>
        <v>0.5384616526626308</v>
      </c>
      <c r="AD78" s="407"/>
      <c r="AE78" s="432"/>
    </row>
    <row r="79" spans="1:31" ht="23.25" x14ac:dyDescent="0.25">
      <c r="A79" s="451"/>
      <c r="B79" s="449"/>
      <c r="C79" s="442"/>
      <c r="D79" s="442"/>
      <c r="E79" s="441"/>
      <c r="F79" s="444"/>
      <c r="G79" s="448"/>
      <c r="H79" s="447"/>
      <c r="I79" s="447"/>
      <c r="J79" s="450"/>
      <c r="K79" s="444"/>
      <c r="L79" s="449"/>
      <c r="M79" s="442"/>
      <c r="N79" s="442"/>
      <c r="O79" s="441"/>
      <c r="P79" s="444"/>
      <c r="Q79" s="448"/>
      <c r="R79" s="447"/>
      <c r="S79" s="447"/>
      <c r="T79" s="446"/>
      <c r="U79" s="444"/>
      <c r="V79" s="443"/>
      <c r="W79" s="445"/>
      <c r="X79" s="442"/>
      <c r="Y79" s="441"/>
      <c r="Z79" s="444"/>
      <c r="AA79" s="443"/>
      <c r="AB79" s="442"/>
      <c r="AC79" s="441"/>
      <c r="AD79" s="440"/>
      <c r="AE79" s="396"/>
    </row>
    <row r="80" spans="1:31" ht="23.25" x14ac:dyDescent="0.25">
      <c r="A80" s="439" t="s">
        <v>81</v>
      </c>
      <c r="B80" s="435">
        <f>B27-B78</f>
        <v>9730</v>
      </c>
      <c r="C80" s="434">
        <f>C27-C78</f>
        <v>-32658</v>
      </c>
      <c r="D80" s="434">
        <f>D27+D78</f>
        <v>-42388</v>
      </c>
      <c r="E80" s="433">
        <f>IF(ISERROR(D80/B80),"-",D80/B80)</f>
        <v>-4.3564234326824254</v>
      </c>
      <c r="F80" s="412"/>
      <c r="G80" s="435">
        <f>G27-G78</f>
        <v>-94644</v>
      </c>
      <c r="H80" s="435">
        <f>H27-H78</f>
        <v>-92494</v>
      </c>
      <c r="I80" s="434">
        <f>I27+I78</f>
        <v>2150</v>
      </c>
      <c r="J80" s="433">
        <f>IF(ISERROR(I80/G80),"-",I80/G80)</f>
        <v>-2.2716706817125228E-2</v>
      </c>
      <c r="K80" s="412"/>
      <c r="L80" s="435"/>
      <c r="M80" s="434"/>
      <c r="N80" s="434"/>
      <c r="O80" s="433"/>
      <c r="P80" s="412"/>
      <c r="Q80" s="435">
        <f>Q27-Q78</f>
        <v>0</v>
      </c>
      <c r="R80" s="434">
        <f>R27-R78</f>
        <v>0</v>
      </c>
      <c r="S80" s="434">
        <f>S27+S78</f>
        <v>0</v>
      </c>
      <c r="T80" s="433" t="str">
        <f>IF(ISERROR(S80/Q80),"-",S80/Q80)</f>
        <v>-</v>
      </c>
      <c r="U80" s="412"/>
      <c r="V80" s="438">
        <f>V27-V78</f>
        <v>-84914</v>
      </c>
      <c r="W80" s="437">
        <f>W27-W78</f>
        <v>-125152</v>
      </c>
      <c r="X80" s="437">
        <f>X27+X78</f>
        <v>-40238</v>
      </c>
      <c r="Y80" s="436">
        <f>IF(ISERROR(X80/V80),"-",X80/V80)</f>
        <v>0.47386767788586098</v>
      </c>
      <c r="Z80" s="412"/>
      <c r="AA80" s="435">
        <f>AA27-AA78</f>
        <v>-496229</v>
      </c>
      <c r="AB80" s="434">
        <f>AB27-AB78</f>
        <v>-311677</v>
      </c>
      <c r="AC80" s="433">
        <f>IF(ISERROR(AB80/AA80),"-",AB80/AA80)</f>
        <v>0.62809106279560445</v>
      </c>
      <c r="AD80" s="407"/>
      <c r="AE80" s="432"/>
    </row>
    <row r="81" spans="1:31" ht="23.25" x14ac:dyDescent="0.25">
      <c r="A81" s="431"/>
      <c r="B81" s="429"/>
      <c r="C81" s="428"/>
      <c r="D81" s="421"/>
      <c r="E81" s="420"/>
      <c r="F81" s="401"/>
      <c r="G81" s="427"/>
      <c r="H81" s="426"/>
      <c r="I81" s="425"/>
      <c r="J81" s="430"/>
      <c r="K81" s="401"/>
      <c r="L81" s="429"/>
      <c r="M81" s="428"/>
      <c r="N81" s="421"/>
      <c r="O81" s="420"/>
      <c r="P81" s="401"/>
      <c r="Q81" s="427"/>
      <c r="R81" s="426"/>
      <c r="S81" s="425"/>
      <c r="T81" s="424"/>
      <c r="U81" s="401"/>
      <c r="V81" s="422"/>
      <c r="W81" s="423"/>
      <c r="X81" s="421"/>
      <c r="Y81" s="420"/>
      <c r="Z81" s="401"/>
      <c r="AA81" s="422"/>
      <c r="AB81" s="421"/>
      <c r="AC81" s="420"/>
      <c r="AD81" s="397"/>
      <c r="AE81" s="396"/>
    </row>
    <row r="82" spans="1:31" ht="23.25" x14ac:dyDescent="0.25">
      <c r="A82" s="419" t="s">
        <v>82</v>
      </c>
      <c r="B82" s="410">
        <v>0</v>
      </c>
      <c r="C82" s="409">
        <v>0</v>
      </c>
      <c r="D82" s="409">
        <f>B82-C82</f>
        <v>0</v>
      </c>
      <c r="E82" s="408">
        <v>0</v>
      </c>
      <c r="F82" s="412"/>
      <c r="G82" s="418">
        <v>0</v>
      </c>
      <c r="H82" s="417">
        <v>0</v>
      </c>
      <c r="I82" s="417">
        <v>0</v>
      </c>
      <c r="J82" s="416">
        <v>0</v>
      </c>
      <c r="K82" s="412"/>
      <c r="L82" s="410"/>
      <c r="M82" s="409"/>
      <c r="N82" s="409"/>
      <c r="O82" s="408"/>
      <c r="P82" s="412"/>
      <c r="Q82" s="415"/>
      <c r="R82" s="414"/>
      <c r="S82" s="414">
        <f>Q82-R82</f>
        <v>0</v>
      </c>
      <c r="T82" s="413" t="str">
        <f>IF(ISERROR(S82/Q82),"-",S82/Q82)</f>
        <v>-</v>
      </c>
      <c r="U82" s="412"/>
      <c r="V82" s="410">
        <f>B82+G82+L82+Q82</f>
        <v>0</v>
      </c>
      <c r="W82" s="409">
        <f>C82+H82+M82+R82</f>
        <v>0</v>
      </c>
      <c r="X82" s="409">
        <f>V82-W82</f>
        <v>0</v>
      </c>
      <c r="Y82" s="408">
        <v>0</v>
      </c>
      <c r="Z82" s="411"/>
      <c r="AA82" s="410">
        <f>G82+L82+Q82+V82</f>
        <v>0</v>
      </c>
      <c r="AB82" s="409">
        <f>AA82-W82</f>
        <v>0</v>
      </c>
      <c r="AC82" s="408">
        <v>0</v>
      </c>
      <c r="AD82" s="407"/>
      <c r="AE82" s="396"/>
    </row>
    <row r="83" spans="1:31" ht="23.25" x14ac:dyDescent="0.25">
      <c r="A83" s="406"/>
      <c r="B83" s="400"/>
      <c r="C83" s="399"/>
      <c r="D83" s="399"/>
      <c r="E83" s="398"/>
      <c r="F83" s="401"/>
      <c r="G83" s="404"/>
      <c r="H83" s="403"/>
      <c r="I83" s="403"/>
      <c r="J83" s="405"/>
      <c r="K83" s="401"/>
      <c r="L83" s="400"/>
      <c r="M83" s="399"/>
      <c r="N83" s="399"/>
      <c r="O83" s="398"/>
      <c r="P83" s="401"/>
      <c r="Q83" s="404"/>
      <c r="R83" s="403"/>
      <c r="S83" s="403"/>
      <c r="T83" s="402"/>
      <c r="U83" s="401"/>
      <c r="V83" s="400"/>
      <c r="W83" s="399"/>
      <c r="X83" s="399"/>
      <c r="Y83" s="398"/>
      <c r="Z83" s="401"/>
      <c r="AA83" s="400"/>
      <c r="AB83" s="399"/>
      <c r="AC83" s="398"/>
      <c r="AD83" s="397"/>
      <c r="AE83" s="396"/>
    </row>
    <row r="84" spans="1:31" ht="24" thickBot="1" x14ac:dyDescent="0.3">
      <c r="A84" s="395" t="s">
        <v>83</v>
      </c>
      <c r="B84" s="394">
        <f>B80-B82</f>
        <v>9730</v>
      </c>
      <c r="C84" s="393">
        <f>C80-C82</f>
        <v>-32658</v>
      </c>
      <c r="D84" s="393">
        <f>D80+D82</f>
        <v>-42388</v>
      </c>
      <c r="E84" s="392">
        <f>IF(ISERROR(D84/B84),"-",D84/B84)</f>
        <v>-4.3564234326824254</v>
      </c>
      <c r="F84" s="391"/>
      <c r="G84" s="394">
        <f>G80-G82</f>
        <v>-94644</v>
      </c>
      <c r="H84" s="393">
        <f>H80-H82</f>
        <v>-92494</v>
      </c>
      <c r="I84" s="393">
        <f>I80+I82</f>
        <v>2150</v>
      </c>
      <c r="J84" s="392">
        <f>IF(ISERROR(I84/G84),"-",I84/G84)</f>
        <v>-2.2716706817125228E-2</v>
      </c>
      <c r="K84" s="391"/>
      <c r="L84" s="394"/>
      <c r="M84" s="393"/>
      <c r="N84" s="393"/>
      <c r="O84" s="392"/>
      <c r="P84" s="391"/>
      <c r="Q84" s="394">
        <f>Q80-Q82</f>
        <v>0</v>
      </c>
      <c r="R84" s="393">
        <f>R80-R82</f>
        <v>0</v>
      </c>
      <c r="S84" s="393">
        <f>S80+S82</f>
        <v>0</v>
      </c>
      <c r="T84" s="392" t="str">
        <f>IF(ISERROR(S84/Q84),"-",S84/Q84)</f>
        <v>-</v>
      </c>
      <c r="U84" s="391"/>
      <c r="V84" s="390">
        <f>V80-V82</f>
        <v>-84914</v>
      </c>
      <c r="W84" s="389">
        <f>W80-W82</f>
        <v>-125152</v>
      </c>
      <c r="X84" s="389">
        <f>X80+X82</f>
        <v>-40238</v>
      </c>
      <c r="Y84" s="388">
        <f>IF(ISERROR(X84/V84),"-",X84/V84)</f>
        <v>0.47386767788586098</v>
      </c>
      <c r="Z84" s="391"/>
      <c r="AA84" s="390">
        <f>AA80-AA82</f>
        <v>-496229</v>
      </c>
      <c r="AB84" s="389">
        <f>AA84-W84</f>
        <v>-371077</v>
      </c>
      <c r="AC84" s="388">
        <f>IF(ISERROR(AB84/AA84),"-",AB84/AA84)</f>
        <v>0.74779386130193926</v>
      </c>
      <c r="AD84" s="387"/>
      <c r="AE84" s="386"/>
    </row>
    <row r="85" spans="1:31" ht="23.25" x14ac:dyDescent="0.35">
      <c r="A85" s="385"/>
    </row>
  </sheetData>
  <mergeCells count="19">
    <mergeCell ref="AE9:AE11"/>
    <mergeCell ref="D10:E10"/>
    <mergeCell ref="I10:J10"/>
    <mergeCell ref="N10:O10"/>
    <mergeCell ref="S10:T10"/>
    <mergeCell ref="X10:Y10"/>
    <mergeCell ref="AB10:AC10"/>
    <mergeCell ref="B9:E9"/>
    <mergeCell ref="G9:J9"/>
    <mergeCell ref="L9:O9"/>
    <mergeCell ref="Q9:T9"/>
    <mergeCell ref="V9:Y9"/>
    <mergeCell ref="AA9:AC9"/>
    <mergeCell ref="A7:H7"/>
    <mergeCell ref="A1:H1"/>
    <mergeCell ref="A3:H3"/>
    <mergeCell ref="A4:H4"/>
    <mergeCell ref="A5:H5"/>
    <mergeCell ref="A6:H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W72"/>
  <sheetViews>
    <sheetView topLeftCell="A54" zoomScale="80" zoomScaleNormal="80" workbookViewId="0">
      <selection activeCell="I63" sqref="I63"/>
    </sheetView>
  </sheetViews>
  <sheetFormatPr defaultColWidth="8.85546875" defaultRowHeight="15.75" customHeight="1" x14ac:dyDescent="0.25"/>
  <cols>
    <col min="1" max="1" width="64.42578125" style="8" customWidth="1"/>
    <col min="2" max="2" width="16.42578125" style="8" customWidth="1"/>
    <col min="3" max="3" width="16.85546875" style="8" customWidth="1"/>
    <col min="4" max="4" width="18.140625" style="8" customWidth="1"/>
    <col min="5" max="5" width="17" style="8" customWidth="1"/>
    <col min="6" max="6" width="17.42578125" style="8" customWidth="1"/>
    <col min="7" max="8" width="8.85546875" style="8" customWidth="1"/>
    <col min="9" max="9" width="23" style="8" customWidth="1"/>
    <col min="10" max="231" width="8.85546875" style="8" customWidth="1"/>
    <col min="232" max="16384" width="8.85546875" style="2"/>
  </cols>
  <sheetData>
    <row r="1" spans="1:231" ht="18.75" customHeight="1" x14ac:dyDescent="0.25">
      <c r="A1" s="862" t="s">
        <v>0</v>
      </c>
      <c r="B1" s="879"/>
      <c r="C1" s="879"/>
      <c r="D1" s="879"/>
      <c r="E1" s="879"/>
      <c r="F1" s="879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</row>
    <row r="2" spans="1:231" ht="18.75" customHeight="1" x14ac:dyDescent="0.25">
      <c r="A2" s="3"/>
      <c r="B2" s="4"/>
      <c r="C2" s="4"/>
      <c r="D2" s="4"/>
      <c r="E2" s="4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</row>
    <row r="3" spans="1:231" s="9" customFormat="1" ht="18.75" customHeight="1" x14ac:dyDescent="0.3">
      <c r="A3" s="858" t="s">
        <v>171</v>
      </c>
      <c r="B3" s="859"/>
      <c r="C3" s="859"/>
      <c r="D3" s="859"/>
      <c r="E3" s="859"/>
      <c r="F3" s="859"/>
    </row>
    <row r="4" spans="1:231" ht="18.75" customHeight="1" x14ac:dyDescent="0.3">
      <c r="A4" s="880" t="s">
        <v>84</v>
      </c>
      <c r="B4" s="860"/>
      <c r="C4" s="860"/>
      <c r="D4" s="860"/>
      <c r="E4" s="860"/>
      <c r="F4" s="86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</row>
    <row r="5" spans="1:231" ht="18.75" customHeight="1" x14ac:dyDescent="0.3">
      <c r="A5" s="880" t="s">
        <v>85</v>
      </c>
      <c r="B5" s="881"/>
      <c r="C5" s="881"/>
      <c r="D5" s="881"/>
      <c r="E5" s="881"/>
      <c r="F5" s="88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</row>
    <row r="6" spans="1:231" ht="18.75" customHeight="1" x14ac:dyDescent="0.3">
      <c r="A6" s="858" t="s">
        <v>87</v>
      </c>
      <c r="B6" s="882"/>
      <c r="C6" s="882"/>
      <c r="D6" s="882"/>
      <c r="E6" s="882"/>
      <c r="F6" s="88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</row>
    <row r="7" spans="1:231" ht="18.75" customHeight="1" x14ac:dyDescent="0.3">
      <c r="A7" s="858" t="s">
        <v>5</v>
      </c>
      <c r="B7" s="859"/>
      <c r="C7" s="859"/>
      <c r="D7" s="859"/>
      <c r="E7" s="859"/>
      <c r="F7" s="859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</row>
    <row r="8" spans="1:231" ht="16.5" customHeight="1" thickBot="1" x14ac:dyDescent="0.3">
      <c r="A8" s="6"/>
      <c r="B8" s="34"/>
      <c r="C8" s="7"/>
      <c r="D8" s="34"/>
      <c r="E8" s="7"/>
      <c r="F8" s="3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</row>
    <row r="9" spans="1:231" ht="17.45" customHeight="1" x14ac:dyDescent="0.25">
      <c r="A9" s="17"/>
      <c r="B9" s="35" t="s">
        <v>162</v>
      </c>
      <c r="C9" s="49" t="s">
        <v>163</v>
      </c>
      <c r="D9" s="35" t="s">
        <v>98</v>
      </c>
      <c r="E9" s="49" t="s">
        <v>164</v>
      </c>
      <c r="F9" s="35" t="s">
        <v>165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</row>
    <row r="10" spans="1:231" ht="15" customHeight="1" x14ac:dyDescent="0.25">
      <c r="A10" s="18"/>
      <c r="B10" s="36">
        <v>43831</v>
      </c>
      <c r="C10" s="50">
        <v>43921</v>
      </c>
      <c r="D10" s="36">
        <v>44012</v>
      </c>
      <c r="E10" s="50">
        <v>44104</v>
      </c>
      <c r="F10" s="61">
        <v>44196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</row>
    <row r="11" spans="1:231" ht="15" customHeight="1" thickBot="1" x14ac:dyDescent="0.3">
      <c r="A11" s="19"/>
      <c r="B11" s="37" t="s">
        <v>19</v>
      </c>
      <c r="C11" s="51" t="s">
        <v>19</v>
      </c>
      <c r="D11" s="37" t="s">
        <v>19</v>
      </c>
      <c r="E11" s="51" t="s">
        <v>19</v>
      </c>
      <c r="F11" s="37" t="s">
        <v>19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</row>
    <row r="12" spans="1:231" ht="15" customHeight="1" x14ac:dyDescent="0.25">
      <c r="A12" s="20" t="s">
        <v>99</v>
      </c>
      <c r="B12" s="38"/>
      <c r="C12" s="52"/>
      <c r="D12" s="38"/>
      <c r="E12" s="52"/>
      <c r="F12" s="38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</row>
    <row r="13" spans="1:231" ht="15" customHeight="1" x14ac:dyDescent="0.25">
      <c r="A13" s="21" t="s">
        <v>100</v>
      </c>
      <c r="B13" s="39"/>
      <c r="C13" s="12"/>
      <c r="D13" s="39"/>
      <c r="E13" s="12"/>
      <c r="F13" s="39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</row>
    <row r="14" spans="1:231" ht="15" customHeight="1" x14ac:dyDescent="0.25">
      <c r="A14" s="10" t="s">
        <v>101</v>
      </c>
      <c r="B14" s="39">
        <v>3690350</v>
      </c>
      <c r="C14" s="12">
        <v>3573329</v>
      </c>
      <c r="D14" s="39">
        <v>3605152</v>
      </c>
      <c r="E14" s="12"/>
      <c r="F14" s="39"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</row>
    <row r="15" spans="1:231" ht="15" customHeight="1" x14ac:dyDescent="0.25">
      <c r="A15" s="11" t="s">
        <v>102</v>
      </c>
      <c r="B15" s="39">
        <v>76858</v>
      </c>
      <c r="C15" s="12">
        <v>89331</v>
      </c>
      <c r="D15" s="39">
        <v>117935</v>
      </c>
      <c r="E15" s="12"/>
      <c r="F15" s="39"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</row>
    <row r="16" spans="1:231" ht="15" customHeight="1" x14ac:dyDescent="0.25">
      <c r="A16" s="11" t="s">
        <v>103</v>
      </c>
      <c r="B16" s="39">
        <v>0</v>
      </c>
      <c r="C16" s="12">
        <v>0</v>
      </c>
      <c r="D16" s="39">
        <v>0</v>
      </c>
      <c r="E16" s="12"/>
      <c r="F16" s="39"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</row>
    <row r="17" spans="1:231" ht="15" customHeight="1" x14ac:dyDescent="0.25">
      <c r="A17" s="11" t="s">
        <v>104</v>
      </c>
      <c r="B17" s="39">
        <v>0</v>
      </c>
      <c r="C17" s="12">
        <v>0</v>
      </c>
      <c r="D17" s="39">
        <v>0</v>
      </c>
      <c r="E17" s="12"/>
      <c r="F17" s="39"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</row>
    <row r="18" spans="1:231" ht="15" customHeight="1" x14ac:dyDescent="0.25">
      <c r="A18" s="11" t="s">
        <v>105</v>
      </c>
      <c r="B18" s="39">
        <v>685471</v>
      </c>
      <c r="C18" s="12">
        <v>673656</v>
      </c>
      <c r="D18" s="39">
        <v>679088</v>
      </c>
      <c r="E18" s="12"/>
      <c r="F18" s="39"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</row>
    <row r="19" spans="1:231" ht="15" customHeight="1" x14ac:dyDescent="0.25">
      <c r="A19" s="22" t="s">
        <v>106</v>
      </c>
      <c r="B19" s="40">
        <v>0</v>
      </c>
      <c r="C19" s="53">
        <v>0</v>
      </c>
      <c r="D19" s="40">
        <v>0</v>
      </c>
      <c r="E19" s="53"/>
      <c r="F19" s="40"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</row>
    <row r="20" spans="1:231" ht="15" customHeight="1" x14ac:dyDescent="0.25">
      <c r="A20" s="23" t="s">
        <v>107</v>
      </c>
      <c r="B20" s="41">
        <f>SUM(B14:B19)</f>
        <v>4452679</v>
      </c>
      <c r="C20" s="54">
        <f>SUM(C14:C19)</f>
        <v>4336316</v>
      </c>
      <c r="D20" s="41">
        <f>SUM(D14:D19)</f>
        <v>4402175</v>
      </c>
      <c r="E20" s="54"/>
      <c r="F20" s="41">
        <f>SUM(F14:F19)</f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</row>
    <row r="21" spans="1:231" ht="15" customHeight="1" x14ac:dyDescent="0.25">
      <c r="A21" s="24"/>
      <c r="B21" s="42"/>
      <c r="C21" s="55"/>
      <c r="D21" s="42"/>
      <c r="E21" s="55"/>
      <c r="F21" s="4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</row>
    <row r="22" spans="1:231" ht="15" customHeight="1" x14ac:dyDescent="0.25">
      <c r="A22" s="25" t="s">
        <v>108</v>
      </c>
      <c r="B22" s="39"/>
      <c r="C22" s="12"/>
      <c r="D22" s="39"/>
      <c r="E22" s="12"/>
      <c r="F22" s="39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</row>
    <row r="23" spans="1:231" ht="15" customHeight="1" x14ac:dyDescent="0.25">
      <c r="A23" s="11" t="s">
        <v>109</v>
      </c>
      <c r="B23" s="39">
        <v>0</v>
      </c>
      <c r="C23" s="12">
        <v>0</v>
      </c>
      <c r="D23" s="39">
        <v>0</v>
      </c>
      <c r="E23" s="12"/>
      <c r="F23" s="39">
        <v>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</row>
    <row r="24" spans="1:231" ht="15" customHeight="1" x14ac:dyDescent="0.25">
      <c r="A24" s="11" t="s">
        <v>110</v>
      </c>
      <c r="B24" s="39">
        <v>0</v>
      </c>
      <c r="C24" s="12">
        <v>0</v>
      </c>
      <c r="D24" s="39">
        <v>0</v>
      </c>
      <c r="E24" s="12"/>
      <c r="F24" s="39">
        <v>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</row>
    <row r="25" spans="1:231" ht="15" customHeight="1" x14ac:dyDescent="0.25">
      <c r="A25" s="11" t="s">
        <v>111</v>
      </c>
      <c r="B25" s="39">
        <v>0</v>
      </c>
      <c r="C25" s="12">
        <v>0</v>
      </c>
      <c r="D25" s="39">
        <v>0</v>
      </c>
      <c r="E25" s="12"/>
      <c r="F25" s="39"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</row>
    <row r="26" spans="1:231" ht="15" customHeight="1" x14ac:dyDescent="0.25">
      <c r="A26" s="11" t="s">
        <v>112</v>
      </c>
      <c r="B26" s="39">
        <v>0</v>
      </c>
      <c r="C26" s="12">
        <v>0</v>
      </c>
      <c r="D26" s="39">
        <v>0</v>
      </c>
      <c r="E26" s="12"/>
      <c r="F26" s="39">
        <v>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</row>
    <row r="27" spans="1:231" ht="15" customHeight="1" x14ac:dyDescent="0.25">
      <c r="A27" s="10" t="s">
        <v>174</v>
      </c>
      <c r="B27" s="39">
        <v>0</v>
      </c>
      <c r="C27" s="12">
        <v>0</v>
      </c>
      <c r="D27" s="39">
        <v>0</v>
      </c>
      <c r="E27" s="12"/>
      <c r="F27" s="39">
        <v>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</row>
    <row r="28" spans="1:231" ht="15" customHeight="1" x14ac:dyDescent="0.25">
      <c r="A28" s="10" t="s">
        <v>175</v>
      </c>
      <c r="B28" s="39">
        <v>0</v>
      </c>
      <c r="C28" s="12">
        <v>0</v>
      </c>
      <c r="D28" s="39">
        <v>0</v>
      </c>
      <c r="E28" s="12"/>
      <c r="F28" s="39">
        <v>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</row>
    <row r="29" spans="1:231" ht="15" customHeight="1" x14ac:dyDescent="0.25">
      <c r="A29" s="22" t="s">
        <v>115</v>
      </c>
      <c r="B29" s="40">
        <v>21598625</v>
      </c>
      <c r="C29" s="53">
        <v>21302826</v>
      </c>
      <c r="D29" s="40">
        <v>20886256</v>
      </c>
      <c r="E29" s="53"/>
      <c r="F29" s="40">
        <v>0</v>
      </c>
      <c r="G29" s="384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</row>
    <row r="30" spans="1:231" ht="15" customHeight="1" x14ac:dyDescent="0.25">
      <c r="A30" s="23" t="s">
        <v>116</v>
      </c>
      <c r="B30" s="41">
        <f>SUM(B23:B29)</f>
        <v>21598625</v>
      </c>
      <c r="C30" s="54">
        <f>SUM(C23:C29)</f>
        <v>21302826</v>
      </c>
      <c r="D30" s="41">
        <f>SUM(D23:D29)</f>
        <v>20886256</v>
      </c>
      <c r="E30" s="54"/>
      <c r="F30" s="41">
        <f>SUM(F23:F29)</f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</row>
    <row r="31" spans="1:231" ht="15" customHeight="1" x14ac:dyDescent="0.25">
      <c r="A31" s="24"/>
      <c r="B31" s="42"/>
      <c r="C31" s="55"/>
      <c r="D31" s="42"/>
      <c r="E31" s="55"/>
      <c r="F31" s="4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</row>
    <row r="32" spans="1:231" ht="15" customHeight="1" x14ac:dyDescent="0.25">
      <c r="A32" s="25" t="s">
        <v>117</v>
      </c>
      <c r="B32" s="43"/>
      <c r="C32" s="15"/>
      <c r="D32" s="43"/>
      <c r="E32" s="15"/>
      <c r="F32" s="4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</row>
    <row r="33" spans="1:231" ht="15" customHeight="1" x14ac:dyDescent="0.25">
      <c r="A33" s="13" t="s">
        <v>118</v>
      </c>
      <c r="B33" s="43">
        <v>0</v>
      </c>
      <c r="C33" s="15">
        <v>0</v>
      </c>
      <c r="D33" s="43">
        <v>0</v>
      </c>
      <c r="E33" s="15"/>
      <c r="F33" s="43"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</row>
    <row r="34" spans="1:231" ht="15" customHeight="1" x14ac:dyDescent="0.25">
      <c r="A34" s="13" t="s">
        <v>119</v>
      </c>
      <c r="B34" s="43">
        <v>0</v>
      </c>
      <c r="C34" s="15">
        <v>0</v>
      </c>
      <c r="D34" s="43">
        <v>0</v>
      </c>
      <c r="E34" s="15"/>
      <c r="F34" s="43">
        <v>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</row>
    <row r="35" spans="1:231" ht="15" customHeight="1" x14ac:dyDescent="0.25">
      <c r="A35" s="13" t="s">
        <v>120</v>
      </c>
      <c r="B35" s="43">
        <v>0</v>
      </c>
      <c r="C35" s="15">
        <v>0</v>
      </c>
      <c r="D35" s="43">
        <v>0</v>
      </c>
      <c r="E35" s="15"/>
      <c r="F35" s="43">
        <v>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</row>
    <row r="36" spans="1:231" ht="15" customHeight="1" x14ac:dyDescent="0.25">
      <c r="A36" s="13" t="s">
        <v>121</v>
      </c>
      <c r="B36" s="43">
        <v>0</v>
      </c>
      <c r="C36" s="15">
        <v>0</v>
      </c>
      <c r="D36" s="43">
        <v>0</v>
      </c>
      <c r="E36" s="15"/>
      <c r="F36" s="43">
        <v>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</row>
    <row r="37" spans="1:231" ht="15" customHeight="1" x14ac:dyDescent="0.25">
      <c r="A37" s="13" t="s">
        <v>122</v>
      </c>
      <c r="B37" s="43">
        <v>0</v>
      </c>
      <c r="C37" s="15">
        <v>0</v>
      </c>
      <c r="D37" s="43">
        <v>0</v>
      </c>
      <c r="E37" s="15"/>
      <c r="F37" s="43"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</row>
    <row r="38" spans="1:231" ht="15" customHeight="1" x14ac:dyDescent="0.25">
      <c r="A38" s="14" t="s">
        <v>169</v>
      </c>
      <c r="B38" s="44">
        <v>554146</v>
      </c>
      <c r="C38" s="56">
        <v>551851</v>
      </c>
      <c r="D38" s="44">
        <v>549815</v>
      </c>
      <c r="E38" s="56"/>
      <c r="F38" s="44"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</row>
    <row r="39" spans="1:231" ht="15" customHeight="1" x14ac:dyDescent="0.25">
      <c r="A39" s="23" t="s">
        <v>124</v>
      </c>
      <c r="B39" s="41">
        <f>SUM(B32:B38)</f>
        <v>554146</v>
      </c>
      <c r="C39" s="54">
        <f>SUM(C32:C38)</f>
        <v>551851</v>
      </c>
      <c r="D39" s="41">
        <f>SUM(D32:D38)</f>
        <v>549815</v>
      </c>
      <c r="E39" s="54"/>
      <c r="F39" s="41">
        <f>SUM(F32:F38)</f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</row>
    <row r="40" spans="1:231" ht="15" customHeight="1" x14ac:dyDescent="0.25">
      <c r="A40" s="26"/>
      <c r="B40" s="45"/>
      <c r="C40" s="57"/>
      <c r="D40" s="45"/>
      <c r="E40" s="57"/>
      <c r="F40" s="45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</row>
    <row r="41" spans="1:231" ht="15" customHeight="1" x14ac:dyDescent="0.25">
      <c r="A41" s="21" t="s">
        <v>125</v>
      </c>
      <c r="B41" s="39">
        <v>0</v>
      </c>
      <c r="C41" s="12">
        <v>0</v>
      </c>
      <c r="D41" s="39">
        <v>0</v>
      </c>
      <c r="E41" s="12"/>
      <c r="F41" s="39"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</row>
    <row r="42" spans="1:231" ht="15" customHeight="1" x14ac:dyDescent="0.25">
      <c r="A42" s="27"/>
      <c r="B42" s="44"/>
      <c r="C42" s="56"/>
      <c r="D42" s="44"/>
      <c r="E42" s="56"/>
      <c r="F42" s="4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</row>
    <row r="43" spans="1:231" ht="15" customHeight="1" x14ac:dyDescent="0.25">
      <c r="A43" s="23" t="s">
        <v>126</v>
      </c>
      <c r="B43" s="41">
        <f>B20+B30+B39+B41</f>
        <v>26605450</v>
      </c>
      <c r="C43" s="54">
        <f>C20+C30+C39+C41</f>
        <v>26190993</v>
      </c>
      <c r="D43" s="41">
        <f>D20+D30+D39+D41</f>
        <v>25838246</v>
      </c>
      <c r="E43" s="54"/>
      <c r="F43" s="41">
        <f>F20+F30+F39+F41</f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</row>
    <row r="44" spans="1:231" ht="15" customHeight="1" x14ac:dyDescent="0.25">
      <c r="A44" s="28"/>
      <c r="B44" s="46"/>
      <c r="C44" s="58"/>
      <c r="D44" s="46"/>
      <c r="E44" s="58"/>
      <c r="F44" s="46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</row>
    <row r="45" spans="1:231" ht="15" customHeight="1" x14ac:dyDescent="0.25">
      <c r="A45" s="21" t="s">
        <v>127</v>
      </c>
      <c r="B45" s="43"/>
      <c r="C45" s="15"/>
      <c r="D45" s="43"/>
      <c r="E45" s="15"/>
      <c r="F45" s="4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</row>
    <row r="46" spans="1:231" ht="15" customHeight="1" x14ac:dyDescent="0.25">
      <c r="A46" s="29"/>
      <c r="B46" s="43"/>
      <c r="C46" s="15"/>
      <c r="D46" s="43"/>
      <c r="E46" s="15"/>
      <c r="F46" s="4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</row>
    <row r="47" spans="1:231" ht="15" customHeight="1" x14ac:dyDescent="0.25">
      <c r="A47" s="21" t="s">
        <v>128</v>
      </c>
      <c r="B47" s="39"/>
      <c r="C47" s="12"/>
      <c r="D47" s="39"/>
      <c r="E47" s="12"/>
      <c r="F47" s="39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</row>
    <row r="48" spans="1:231" ht="15" customHeight="1" x14ac:dyDescent="0.25">
      <c r="A48" s="13" t="s">
        <v>129</v>
      </c>
      <c r="B48" s="43">
        <v>136575</v>
      </c>
      <c r="C48" s="15">
        <v>136574</v>
      </c>
      <c r="D48" s="43">
        <v>136574</v>
      </c>
      <c r="E48" s="15"/>
      <c r="F48" s="43">
        <v>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</row>
    <row r="49" spans="1:231" ht="15" customHeight="1" x14ac:dyDescent="0.25">
      <c r="A49" s="16" t="s">
        <v>130</v>
      </c>
      <c r="B49" s="43">
        <v>0</v>
      </c>
      <c r="C49" s="15">
        <v>0</v>
      </c>
      <c r="D49" s="43">
        <v>0</v>
      </c>
      <c r="E49" s="15"/>
      <c r="F49" s="43">
        <v>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</row>
    <row r="50" spans="1:231" ht="15" customHeight="1" x14ac:dyDescent="0.25">
      <c r="A50" s="16" t="s">
        <v>131</v>
      </c>
      <c r="B50" s="43">
        <v>0</v>
      </c>
      <c r="C50" s="15">
        <v>0</v>
      </c>
      <c r="D50" s="43">
        <v>0</v>
      </c>
      <c r="E50" s="15"/>
      <c r="F50" s="43">
        <v>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</row>
    <row r="51" spans="1:231" ht="15" customHeight="1" x14ac:dyDescent="0.25">
      <c r="A51" s="16" t="s">
        <v>132</v>
      </c>
      <c r="B51" s="43">
        <v>0</v>
      </c>
      <c r="C51" s="15">
        <v>0</v>
      </c>
      <c r="D51" s="43">
        <v>0</v>
      </c>
      <c r="E51" s="15"/>
      <c r="F51" s="43">
        <v>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</row>
    <row r="52" spans="1:231" ht="15" customHeight="1" x14ac:dyDescent="0.25">
      <c r="A52" s="16" t="s">
        <v>133</v>
      </c>
      <c r="B52" s="43">
        <v>93511</v>
      </c>
      <c r="C52" s="15">
        <v>89895</v>
      </c>
      <c r="D52" s="43">
        <v>78614</v>
      </c>
      <c r="E52" s="15"/>
      <c r="F52" s="43">
        <v>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</row>
    <row r="53" spans="1:231" ht="15" customHeight="1" x14ac:dyDescent="0.25">
      <c r="A53" s="16" t="s">
        <v>134</v>
      </c>
      <c r="B53" s="43">
        <v>0</v>
      </c>
      <c r="C53" s="15">
        <v>0</v>
      </c>
      <c r="D53" s="43">
        <v>0</v>
      </c>
      <c r="E53" s="15"/>
      <c r="F53" s="43">
        <v>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</row>
    <row r="54" spans="1:231" ht="15" customHeight="1" x14ac:dyDescent="0.25">
      <c r="A54" s="13" t="s">
        <v>135</v>
      </c>
      <c r="B54" s="43">
        <v>0</v>
      </c>
      <c r="C54" s="15">
        <v>0</v>
      </c>
      <c r="D54" s="43">
        <v>0</v>
      </c>
      <c r="E54" s="15"/>
      <c r="F54" s="43">
        <v>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</row>
    <row r="55" spans="1:231" ht="15" customHeight="1" x14ac:dyDescent="0.25">
      <c r="A55" s="13" t="s">
        <v>136</v>
      </c>
      <c r="B55" s="43">
        <v>0</v>
      </c>
      <c r="C55" s="15">
        <v>0</v>
      </c>
      <c r="D55" s="43">
        <v>0</v>
      </c>
      <c r="E55" s="15"/>
      <c r="F55" s="43">
        <v>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</row>
    <row r="56" spans="1:231" ht="15" customHeight="1" x14ac:dyDescent="0.25">
      <c r="A56" s="14" t="s">
        <v>137</v>
      </c>
      <c r="B56" s="44">
        <v>0</v>
      </c>
      <c r="C56" s="56">
        <v>0</v>
      </c>
      <c r="D56" s="44">
        <v>0</v>
      </c>
      <c r="E56" s="56"/>
      <c r="F56" s="44">
        <v>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</row>
    <row r="57" spans="1:231" ht="15" customHeight="1" x14ac:dyDescent="0.25">
      <c r="A57" s="23" t="s">
        <v>138</v>
      </c>
      <c r="B57" s="41">
        <f>SUM(B48:B56)</f>
        <v>230086</v>
      </c>
      <c r="C57" s="54">
        <f>SUM(C48:C56)</f>
        <v>226469</v>
      </c>
      <c r="D57" s="41">
        <f>SUM(D48:D56)</f>
        <v>215188</v>
      </c>
      <c r="E57" s="54"/>
      <c r="F57" s="41">
        <f>SUM(F48:F56)</f>
        <v>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</row>
    <row r="58" spans="1:231" ht="15" customHeight="1" x14ac:dyDescent="0.25">
      <c r="A58" s="30"/>
      <c r="B58" s="42"/>
      <c r="C58" s="55"/>
      <c r="D58" s="42"/>
      <c r="E58" s="55"/>
      <c r="F58" s="4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</row>
    <row r="59" spans="1:231" ht="15" customHeight="1" x14ac:dyDescent="0.25">
      <c r="A59" s="21" t="s">
        <v>139</v>
      </c>
      <c r="B59" s="43"/>
      <c r="C59" s="15"/>
      <c r="D59" s="43"/>
      <c r="E59" s="15"/>
      <c r="F59" s="4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</row>
    <row r="60" spans="1:231" ht="15" customHeight="1" x14ac:dyDescent="0.25">
      <c r="A60" s="13" t="s">
        <v>170</v>
      </c>
      <c r="B60" s="43">
        <v>5569909</v>
      </c>
      <c r="C60" s="15">
        <v>5191727</v>
      </c>
      <c r="D60" s="43">
        <v>4942755</v>
      </c>
      <c r="E60" s="15"/>
      <c r="F60" s="43">
        <v>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</row>
    <row r="61" spans="1:231" ht="15" customHeight="1" x14ac:dyDescent="0.25">
      <c r="A61" s="13" t="s">
        <v>44</v>
      </c>
      <c r="B61" s="43">
        <v>391158</v>
      </c>
      <c r="C61" s="15">
        <v>391158</v>
      </c>
      <c r="D61" s="43">
        <v>391158</v>
      </c>
      <c r="E61" s="15"/>
      <c r="F61" s="4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</row>
    <row r="62" spans="1:231" ht="15" customHeight="1" x14ac:dyDescent="0.25">
      <c r="A62" s="31"/>
      <c r="B62" s="44"/>
      <c r="C62" s="56"/>
      <c r="D62" s="44"/>
      <c r="E62" s="56"/>
      <c r="F62" s="4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</row>
    <row r="63" spans="1:231" ht="15" customHeight="1" x14ac:dyDescent="0.25">
      <c r="A63" s="23" t="s">
        <v>142</v>
      </c>
      <c r="B63" s="41">
        <f>SUM(B60:B62)</f>
        <v>5961067</v>
      </c>
      <c r="C63" s="54">
        <f>SUM(C60:C62)</f>
        <v>5582885</v>
      </c>
      <c r="D63" s="41">
        <f>SUM(D60:D62)</f>
        <v>5333913</v>
      </c>
      <c r="E63" s="54"/>
      <c r="F63" s="41">
        <f>SUM(F60:F62)</f>
        <v>0</v>
      </c>
      <c r="G63" s="2"/>
      <c r="H63" s="2"/>
      <c r="I63" s="305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</row>
    <row r="64" spans="1:231" ht="15" customHeight="1" x14ac:dyDescent="0.25">
      <c r="A64" s="30"/>
      <c r="B64" s="42"/>
      <c r="C64" s="55"/>
      <c r="D64" s="42"/>
      <c r="E64" s="55"/>
      <c r="F64" s="4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</row>
    <row r="65" spans="1:231" ht="15" customHeight="1" x14ac:dyDescent="0.25">
      <c r="A65" s="21" t="s">
        <v>143</v>
      </c>
      <c r="B65" s="43"/>
      <c r="C65" s="15"/>
      <c r="D65" s="43"/>
      <c r="E65" s="15"/>
      <c r="F65" s="4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</row>
    <row r="66" spans="1:231" ht="15" customHeight="1" x14ac:dyDescent="0.25">
      <c r="A66" s="13" t="s">
        <v>144</v>
      </c>
      <c r="B66" s="43">
        <v>9555698</v>
      </c>
      <c r="C66" s="15">
        <v>9555698</v>
      </c>
      <c r="D66" s="43">
        <v>9555698</v>
      </c>
      <c r="E66" s="15"/>
      <c r="F66" s="43">
        <v>0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</row>
    <row r="67" spans="1:231" ht="15" customHeight="1" x14ac:dyDescent="0.25">
      <c r="A67" s="13" t="s">
        <v>145</v>
      </c>
      <c r="B67" s="43">
        <v>0</v>
      </c>
      <c r="C67" s="15">
        <v>0</v>
      </c>
      <c r="D67" s="43">
        <v>0</v>
      </c>
      <c r="E67" s="15"/>
      <c r="F67" s="43">
        <v>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</row>
    <row r="68" spans="1:231" ht="15" customHeight="1" x14ac:dyDescent="0.25">
      <c r="A68" s="13" t="s">
        <v>146</v>
      </c>
      <c r="B68" s="43">
        <v>0</v>
      </c>
      <c r="C68" s="15">
        <v>0</v>
      </c>
      <c r="D68" s="43">
        <v>0</v>
      </c>
      <c r="E68" s="15"/>
      <c r="F68" s="43">
        <v>0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</row>
    <row r="69" spans="1:231" ht="15" customHeight="1" x14ac:dyDescent="0.25">
      <c r="A69" s="14" t="s">
        <v>147</v>
      </c>
      <c r="B69" s="44">
        <v>10858599</v>
      </c>
      <c r="C69" s="56">
        <v>10825941</v>
      </c>
      <c r="D69" s="44">
        <v>10733447</v>
      </c>
      <c r="E69" s="56"/>
      <c r="F69" s="44">
        <v>0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</row>
    <row r="70" spans="1:231" ht="15" customHeight="1" x14ac:dyDescent="0.25">
      <c r="A70" s="23" t="s">
        <v>148</v>
      </c>
      <c r="B70" s="41">
        <f>SUM(B66:B69)</f>
        <v>20414297</v>
      </c>
      <c r="C70" s="54">
        <f>SUM(C66:C69)</f>
        <v>20381639</v>
      </c>
      <c r="D70" s="41">
        <f>SUM(D66:D69)</f>
        <v>20289145</v>
      </c>
      <c r="E70" s="54"/>
      <c r="F70" s="41">
        <f>SUM(F66:F69)</f>
        <v>0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</row>
    <row r="71" spans="1:231" ht="15.75" customHeight="1" x14ac:dyDescent="0.25">
      <c r="A71" s="32"/>
      <c r="B71" s="47"/>
      <c r="C71" s="59"/>
      <c r="D71" s="47"/>
      <c r="E71" s="59"/>
      <c r="F71" s="47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</row>
    <row r="72" spans="1:231" ht="16.5" customHeight="1" thickBot="1" x14ac:dyDescent="0.3">
      <c r="A72" s="33" t="s">
        <v>149</v>
      </c>
      <c r="B72" s="48">
        <f>B70+B63+B57</f>
        <v>26605450</v>
      </c>
      <c r="C72" s="60">
        <f>C70+C63+C57</f>
        <v>26190993</v>
      </c>
      <c r="D72" s="48">
        <f>D70+D63+D57</f>
        <v>25838246</v>
      </c>
      <c r="E72" s="60"/>
      <c r="F72" s="48">
        <f>F70+F63+F57</f>
        <v>0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</row>
  </sheetData>
  <mergeCells count="6">
    <mergeCell ref="A7:F7"/>
    <mergeCell ref="A1:F1"/>
    <mergeCell ref="A3:F3"/>
    <mergeCell ref="A4:F4"/>
    <mergeCell ref="A5:F5"/>
    <mergeCell ref="A6:F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E86"/>
  <sheetViews>
    <sheetView topLeftCell="A32" zoomScale="70" zoomScaleNormal="70" workbookViewId="0">
      <selection activeCell="X57" sqref="X57"/>
    </sheetView>
  </sheetViews>
  <sheetFormatPr defaultColWidth="9.140625" defaultRowHeight="15" x14ac:dyDescent="0.25"/>
  <cols>
    <col min="1" max="1" width="53.42578125" style="8" customWidth="1"/>
    <col min="2" max="2" width="18.140625" style="8" bestFit="1" customWidth="1"/>
    <col min="3" max="3" width="17.7109375" style="8" bestFit="1" customWidth="1"/>
    <col min="4" max="4" width="14.5703125" style="8" customWidth="1"/>
    <col min="5" max="5" width="10.5703125" style="307" customWidth="1"/>
    <col min="6" max="6" width="1" style="8" customWidth="1"/>
    <col min="7" max="7" width="17.42578125" style="8" customWidth="1"/>
    <col min="8" max="8" width="17.140625" style="8" customWidth="1"/>
    <col min="9" max="9" width="18.140625" style="8" bestFit="1" customWidth="1"/>
    <col min="10" max="10" width="11.140625" style="307" customWidth="1"/>
    <col min="11" max="11" width="1.140625" style="8" customWidth="1"/>
    <col min="12" max="12" width="18" style="8" hidden="1" customWidth="1"/>
    <col min="13" max="13" width="16.85546875" style="8" hidden="1" customWidth="1"/>
    <col min="14" max="14" width="18.28515625" style="8" hidden="1" customWidth="1"/>
    <col min="15" max="15" width="6.85546875" style="307" hidden="1" customWidth="1"/>
    <col min="16" max="16" width="1" style="8" hidden="1" customWidth="1"/>
    <col min="17" max="17" width="13.85546875" style="8" hidden="1" customWidth="1"/>
    <col min="18" max="18" width="13.140625" style="8" hidden="1" customWidth="1"/>
    <col min="19" max="19" width="12.85546875" style="8" hidden="1" customWidth="1"/>
    <col min="20" max="20" width="7.7109375" style="8" hidden="1" customWidth="1"/>
    <col min="21" max="21" width="1.28515625" style="8" hidden="1" customWidth="1"/>
    <col min="22" max="22" width="18.7109375" style="8" customWidth="1"/>
    <col min="23" max="23" width="18.7109375" style="8" bestFit="1" customWidth="1"/>
    <col min="24" max="24" width="18.7109375" style="8" customWidth="1"/>
    <col min="25" max="25" width="9.42578125" style="307" customWidth="1"/>
    <col min="26" max="26" width="1" style="8" customWidth="1"/>
    <col min="27" max="27" width="25.140625" style="8" bestFit="1" customWidth="1"/>
    <col min="28" max="28" width="19.85546875" style="8" bestFit="1" customWidth="1"/>
    <col min="29" max="29" width="9.5703125" style="307" customWidth="1"/>
    <col min="30" max="30" width="1" style="8" customWidth="1"/>
    <col min="31" max="31" width="66.42578125" style="8" hidden="1" customWidth="1"/>
  </cols>
  <sheetData>
    <row r="1" spans="1:31" ht="18.75" x14ac:dyDescent="0.25">
      <c r="A1" s="839" t="s">
        <v>0</v>
      </c>
      <c r="B1" s="840"/>
      <c r="C1" s="840"/>
      <c r="D1" s="840"/>
      <c r="E1" s="840"/>
      <c r="F1" s="840"/>
      <c r="G1" s="840"/>
      <c r="H1" s="840"/>
      <c r="I1" s="112"/>
      <c r="J1" s="383"/>
      <c r="K1" s="1"/>
      <c r="L1" s="1"/>
      <c r="M1" s="1"/>
      <c r="N1" s="1"/>
      <c r="O1" s="382"/>
      <c r="P1" s="62"/>
      <c r="Q1" s="112"/>
      <c r="R1" s="113"/>
      <c r="S1" s="114"/>
      <c r="T1" s="113"/>
      <c r="U1" s="62"/>
      <c r="V1" s="62"/>
      <c r="W1" s="62"/>
      <c r="X1" s="62"/>
      <c r="Y1" s="381"/>
      <c r="Z1" s="62"/>
      <c r="AA1" s="62"/>
      <c r="AB1" s="62"/>
      <c r="AC1" s="381"/>
      <c r="AD1" s="62"/>
      <c r="AE1" s="63"/>
    </row>
    <row r="2" spans="1:31" ht="18.75" x14ac:dyDescent="0.25">
      <c r="A2" s="125"/>
      <c r="B2" s="126"/>
      <c r="C2" s="126"/>
      <c r="D2" s="126"/>
      <c r="E2" s="380"/>
      <c r="F2" s="126"/>
      <c r="G2" s="126"/>
      <c r="H2" s="126"/>
      <c r="I2" s="115"/>
      <c r="J2" s="377"/>
      <c r="K2" s="4"/>
      <c r="L2" s="5"/>
      <c r="M2" s="5"/>
      <c r="N2" s="5"/>
      <c r="O2" s="379"/>
      <c r="P2" s="4"/>
      <c r="Q2" s="115"/>
      <c r="R2" s="116"/>
      <c r="S2" s="117"/>
      <c r="T2" s="116"/>
      <c r="U2" s="4"/>
      <c r="V2" s="65"/>
      <c r="W2" s="65"/>
      <c r="X2" s="65"/>
      <c r="Y2" s="372"/>
      <c r="Z2" s="4"/>
      <c r="AA2" s="65"/>
      <c r="AB2" s="65"/>
      <c r="AC2" s="372"/>
      <c r="AD2" s="4"/>
      <c r="AE2" s="66"/>
    </row>
    <row r="3" spans="1:31" s="100" customFormat="1" ht="18.75" x14ac:dyDescent="0.25">
      <c r="A3" s="837" t="s">
        <v>176</v>
      </c>
      <c r="B3" s="838"/>
      <c r="C3" s="838"/>
      <c r="D3" s="838"/>
      <c r="E3" s="838"/>
      <c r="F3" s="838"/>
      <c r="G3" s="838"/>
      <c r="H3" s="838"/>
      <c r="I3" s="118"/>
      <c r="J3" s="375"/>
      <c r="K3" s="97"/>
      <c r="L3" s="97"/>
      <c r="M3" s="97"/>
      <c r="N3" s="97"/>
      <c r="O3" s="378"/>
      <c r="P3" s="98"/>
      <c r="Q3" s="118"/>
      <c r="R3" s="119"/>
      <c r="S3" s="120"/>
      <c r="T3" s="119"/>
      <c r="U3" s="98"/>
      <c r="V3" s="98"/>
      <c r="W3" s="98"/>
      <c r="X3" s="98"/>
      <c r="Y3" s="373"/>
      <c r="Z3" s="98"/>
      <c r="AA3" s="98"/>
      <c r="AB3" s="98"/>
      <c r="AC3" s="373"/>
      <c r="AD3" s="98"/>
      <c r="AE3" s="99"/>
    </row>
    <row r="4" spans="1:31" ht="18.75" x14ac:dyDescent="0.25">
      <c r="A4" s="843" t="s">
        <v>2</v>
      </c>
      <c r="B4" s="844"/>
      <c r="C4" s="844"/>
      <c r="D4" s="844"/>
      <c r="E4" s="844"/>
      <c r="F4" s="844"/>
      <c r="G4" s="844"/>
      <c r="H4" s="844"/>
      <c r="I4" s="127"/>
      <c r="J4" s="377"/>
      <c r="K4" s="67"/>
      <c r="L4" s="67"/>
      <c r="M4" s="67"/>
      <c r="N4" s="67"/>
      <c r="O4" s="376"/>
      <c r="P4" s="65"/>
      <c r="Q4" s="121"/>
      <c r="R4" s="122"/>
      <c r="S4" s="117"/>
      <c r="T4" s="122"/>
      <c r="U4" s="65"/>
      <c r="V4" s="65"/>
      <c r="W4" s="65"/>
      <c r="X4" s="65"/>
      <c r="Y4" s="372"/>
      <c r="Z4" s="65"/>
      <c r="AA4" s="65"/>
      <c r="AB4" s="68"/>
      <c r="AC4" s="372"/>
      <c r="AD4" s="65"/>
      <c r="AE4" s="66"/>
    </row>
    <row r="5" spans="1:31" ht="18.75" x14ac:dyDescent="0.25">
      <c r="A5" s="843" t="s">
        <v>3</v>
      </c>
      <c r="B5" s="845"/>
      <c r="C5" s="845"/>
      <c r="D5" s="845"/>
      <c r="E5" s="845"/>
      <c r="F5" s="845"/>
      <c r="G5" s="845"/>
      <c r="H5" s="845"/>
      <c r="I5" s="115"/>
      <c r="J5" s="377"/>
      <c r="K5" s="67"/>
      <c r="L5" s="67"/>
      <c r="M5" s="67"/>
      <c r="N5" s="67"/>
      <c r="O5" s="376"/>
      <c r="P5" s="65"/>
      <c r="Q5" s="121"/>
      <c r="R5" s="122"/>
      <c r="S5" s="117"/>
      <c r="T5" s="122"/>
      <c r="U5" s="65"/>
      <c r="V5" s="65"/>
      <c r="W5" s="65"/>
      <c r="X5" s="65"/>
      <c r="Y5" s="372"/>
      <c r="Z5" s="65"/>
      <c r="AA5" s="65"/>
      <c r="AB5" s="68"/>
      <c r="AC5" s="372"/>
      <c r="AD5" s="65"/>
      <c r="AE5" s="66"/>
    </row>
    <row r="6" spans="1:31" s="100" customFormat="1" ht="18.75" x14ac:dyDescent="0.25">
      <c r="A6" s="837" t="s">
        <v>177</v>
      </c>
      <c r="B6" s="846"/>
      <c r="C6" s="846"/>
      <c r="D6" s="846"/>
      <c r="E6" s="846"/>
      <c r="F6" s="846"/>
      <c r="G6" s="846"/>
      <c r="H6" s="846"/>
      <c r="I6" s="118"/>
      <c r="J6" s="375"/>
      <c r="K6" s="101"/>
      <c r="L6" s="101"/>
      <c r="M6" s="101"/>
      <c r="N6" s="101"/>
      <c r="O6" s="374"/>
      <c r="P6" s="98"/>
      <c r="Q6" s="123"/>
      <c r="R6" s="124"/>
      <c r="S6" s="120"/>
      <c r="T6" s="124"/>
      <c r="U6" s="98"/>
      <c r="V6" s="98"/>
      <c r="W6" s="98"/>
      <c r="X6" s="98"/>
      <c r="Y6" s="373"/>
      <c r="Z6" s="98"/>
      <c r="AA6" s="102"/>
      <c r="AB6" s="103"/>
      <c r="AC6" s="373"/>
      <c r="AD6" s="98"/>
      <c r="AE6" s="99"/>
    </row>
    <row r="7" spans="1:31" s="100" customFormat="1" ht="18.75" x14ac:dyDescent="0.25">
      <c r="A7" s="837" t="s">
        <v>5</v>
      </c>
      <c r="B7" s="838"/>
      <c r="C7" s="838"/>
      <c r="D7" s="838"/>
      <c r="E7" s="838"/>
      <c r="F7" s="838"/>
      <c r="G7" s="838"/>
      <c r="H7" s="838"/>
      <c r="I7" s="128"/>
      <c r="J7" s="375"/>
      <c r="K7" s="101"/>
      <c r="L7" s="101"/>
      <c r="M7" s="101"/>
      <c r="N7" s="101"/>
      <c r="O7" s="374"/>
      <c r="P7" s="98"/>
      <c r="Q7" s="123"/>
      <c r="R7" s="124"/>
      <c r="S7" s="120"/>
      <c r="T7" s="124"/>
      <c r="U7" s="98"/>
      <c r="V7" s="98"/>
      <c r="W7" s="98"/>
      <c r="X7" s="98"/>
      <c r="Y7" s="373"/>
      <c r="Z7" s="98"/>
      <c r="AA7" s="98"/>
      <c r="AB7" s="256"/>
      <c r="AC7" s="373"/>
      <c r="AD7" s="98"/>
      <c r="AE7" s="99"/>
    </row>
    <row r="8" spans="1:31" ht="27" thickBot="1" x14ac:dyDescent="0.3">
      <c r="A8" s="69"/>
      <c r="B8" s="168"/>
      <c r="C8" s="65"/>
      <c r="D8" s="65"/>
      <c r="E8" s="372"/>
      <c r="F8" s="70"/>
      <c r="G8" s="65"/>
      <c r="H8" s="65"/>
      <c r="I8" s="65"/>
      <c r="J8" s="372"/>
      <c r="K8" s="70"/>
      <c r="L8" s="65"/>
      <c r="M8" s="65"/>
      <c r="N8" s="65"/>
      <c r="O8" s="372"/>
      <c r="P8" s="70"/>
      <c r="Q8" s="65"/>
      <c r="R8" s="65"/>
      <c r="S8" s="235"/>
      <c r="T8" s="65"/>
      <c r="U8" s="70"/>
      <c r="V8" s="65"/>
      <c r="W8" s="65"/>
      <c r="X8" s="65"/>
      <c r="Y8" s="372"/>
      <c r="Z8" s="70"/>
      <c r="AA8" s="65"/>
      <c r="AB8" s="68"/>
      <c r="AC8" s="372"/>
      <c r="AD8" s="70"/>
      <c r="AE8" s="71"/>
    </row>
    <row r="9" spans="1:31" ht="15.75" x14ac:dyDescent="0.25">
      <c r="A9" s="140"/>
      <c r="B9" s="852" t="s">
        <v>6</v>
      </c>
      <c r="C9" s="853"/>
      <c r="D9" s="853"/>
      <c r="E9" s="854"/>
      <c r="F9" s="200"/>
      <c r="G9" s="852" t="s">
        <v>7</v>
      </c>
      <c r="H9" s="853"/>
      <c r="I9" s="853"/>
      <c r="J9" s="854"/>
      <c r="K9" s="200"/>
      <c r="L9" s="855" t="s">
        <v>8</v>
      </c>
      <c r="M9" s="856"/>
      <c r="N9" s="856"/>
      <c r="O9" s="857"/>
      <c r="P9" s="200"/>
      <c r="Q9" s="852" t="s">
        <v>9</v>
      </c>
      <c r="R9" s="853"/>
      <c r="S9" s="853"/>
      <c r="T9" s="854"/>
      <c r="U9" s="200"/>
      <c r="V9" s="855" t="s">
        <v>10</v>
      </c>
      <c r="W9" s="856"/>
      <c r="X9" s="856"/>
      <c r="Y9" s="857"/>
      <c r="Z9" s="200"/>
      <c r="AA9" s="855" t="s">
        <v>11</v>
      </c>
      <c r="AB9" s="856"/>
      <c r="AC9" s="857"/>
      <c r="AD9" s="158"/>
      <c r="AE9" s="847" t="s">
        <v>12</v>
      </c>
    </row>
    <row r="10" spans="1:31" ht="15.75" x14ac:dyDescent="0.25">
      <c r="A10" s="141" t="s">
        <v>13</v>
      </c>
      <c r="B10" s="169" t="s">
        <v>14</v>
      </c>
      <c r="C10" s="104" t="s">
        <v>15</v>
      </c>
      <c r="D10" s="850" t="s">
        <v>16</v>
      </c>
      <c r="E10" s="851"/>
      <c r="F10" s="201"/>
      <c r="G10" s="169" t="s">
        <v>14</v>
      </c>
      <c r="H10" s="104" t="s">
        <v>15</v>
      </c>
      <c r="I10" s="850" t="s">
        <v>16</v>
      </c>
      <c r="J10" s="851"/>
      <c r="K10" s="201"/>
      <c r="L10" s="169" t="s">
        <v>14</v>
      </c>
      <c r="M10" s="104" t="s">
        <v>15</v>
      </c>
      <c r="N10" s="850" t="s">
        <v>16</v>
      </c>
      <c r="O10" s="851"/>
      <c r="P10" s="201"/>
      <c r="Q10" s="169" t="s">
        <v>14</v>
      </c>
      <c r="R10" s="104" t="s">
        <v>15</v>
      </c>
      <c r="S10" s="850" t="s">
        <v>16</v>
      </c>
      <c r="T10" s="851"/>
      <c r="U10" s="201"/>
      <c r="V10" s="169" t="s">
        <v>14</v>
      </c>
      <c r="W10" s="104" t="s">
        <v>15</v>
      </c>
      <c r="X10" s="850" t="s">
        <v>178</v>
      </c>
      <c r="Y10" s="851"/>
      <c r="Z10" s="201"/>
      <c r="AA10" s="247" t="s">
        <v>17</v>
      </c>
      <c r="AB10" s="850" t="s">
        <v>18</v>
      </c>
      <c r="AC10" s="851"/>
      <c r="AD10" s="159"/>
      <c r="AE10" s="848"/>
    </row>
    <row r="11" spans="1:31" ht="16.5" thickBot="1" x14ac:dyDescent="0.3">
      <c r="A11" s="142"/>
      <c r="B11" s="170" t="s">
        <v>19</v>
      </c>
      <c r="C11" s="105" t="s">
        <v>19</v>
      </c>
      <c r="D11" s="106" t="s">
        <v>19</v>
      </c>
      <c r="E11" s="371" t="s">
        <v>20</v>
      </c>
      <c r="F11" s="202"/>
      <c r="G11" s="209" t="s">
        <v>19</v>
      </c>
      <c r="H11" s="107" t="s">
        <v>19</v>
      </c>
      <c r="I11" s="108" t="s">
        <v>19</v>
      </c>
      <c r="J11" s="370" t="s">
        <v>20</v>
      </c>
      <c r="K11" s="202"/>
      <c r="L11" s="209" t="s">
        <v>19</v>
      </c>
      <c r="M11" s="107" t="s">
        <v>19</v>
      </c>
      <c r="N11" s="108" t="s">
        <v>19</v>
      </c>
      <c r="O11" s="370" t="s">
        <v>20</v>
      </c>
      <c r="P11" s="202"/>
      <c r="Q11" s="209" t="s">
        <v>19</v>
      </c>
      <c r="R11" s="107" t="s">
        <v>19</v>
      </c>
      <c r="S11" s="108" t="s">
        <v>19</v>
      </c>
      <c r="T11" s="210" t="s">
        <v>20</v>
      </c>
      <c r="U11" s="202"/>
      <c r="V11" s="209" t="s">
        <v>19</v>
      </c>
      <c r="W11" s="107" t="s">
        <v>19</v>
      </c>
      <c r="X11" s="108" t="s">
        <v>19</v>
      </c>
      <c r="Y11" s="370" t="s">
        <v>20</v>
      </c>
      <c r="Z11" s="202"/>
      <c r="AA11" s="209" t="s">
        <v>19</v>
      </c>
      <c r="AB11" s="108" t="s">
        <v>19</v>
      </c>
      <c r="AC11" s="370" t="s">
        <v>20</v>
      </c>
      <c r="AD11" s="160"/>
      <c r="AE11" s="849"/>
    </row>
    <row r="12" spans="1:31" ht="15.75" x14ac:dyDescent="0.25">
      <c r="A12" s="143" t="s">
        <v>21</v>
      </c>
      <c r="B12" s="172"/>
      <c r="C12" s="72"/>
      <c r="D12" s="72"/>
      <c r="E12" s="369"/>
      <c r="F12" s="203"/>
      <c r="G12" s="184"/>
      <c r="H12" s="73"/>
      <c r="I12" s="73"/>
      <c r="J12" s="361"/>
      <c r="K12" s="203"/>
      <c r="L12" s="184"/>
      <c r="M12" s="73"/>
      <c r="N12" s="73"/>
      <c r="O12" s="361"/>
      <c r="P12" s="203"/>
      <c r="Q12" s="184"/>
      <c r="R12" s="73"/>
      <c r="S12" s="73"/>
      <c r="T12" s="185"/>
      <c r="U12" s="203"/>
      <c r="V12" s="184"/>
      <c r="W12" s="73"/>
      <c r="X12" s="73"/>
      <c r="Y12" s="361"/>
      <c r="Z12" s="203"/>
      <c r="AA12" s="184"/>
      <c r="AB12" s="73"/>
      <c r="AC12" s="361"/>
      <c r="AD12" s="161"/>
      <c r="AE12" s="74"/>
    </row>
    <row r="13" spans="1:31" ht="15.75" x14ac:dyDescent="0.25">
      <c r="A13" s="144" t="s">
        <v>151</v>
      </c>
      <c r="B13" s="174">
        <v>3669000</v>
      </c>
      <c r="C13" s="75">
        <v>2736512.46</v>
      </c>
      <c r="D13" s="76">
        <f t="shared" ref="D13:D22" si="0">C13-B13</f>
        <v>-932487.54</v>
      </c>
      <c r="E13" s="312">
        <f t="shared" ref="E13:E23" si="1">IF(ISERROR(D13/B13),"-",D13/B13)</f>
        <v>-0.25415304987735077</v>
      </c>
      <c r="F13" s="205"/>
      <c r="G13" s="174">
        <v>3669000</v>
      </c>
      <c r="H13" s="75">
        <f>556404.47+1202345.68+1310704.15</f>
        <v>3069454.3</v>
      </c>
      <c r="I13" s="76">
        <f t="shared" ref="I13:I22" si="2">H13-G13</f>
        <v>-599545.70000000019</v>
      </c>
      <c r="J13" s="312">
        <f t="shared" ref="J13:J23" si="3">IF(ISERROR(I13/G13),"-",I13/G13)</f>
        <v>-0.16340847642409381</v>
      </c>
      <c r="K13" s="205"/>
      <c r="L13" s="174">
        <v>0</v>
      </c>
      <c r="M13" s="75">
        <v>0</v>
      </c>
      <c r="N13" s="76">
        <f t="shared" ref="N13:N22" si="4">M13-L13</f>
        <v>0</v>
      </c>
      <c r="O13" s="312" t="str">
        <f t="shared" ref="O13:O23" si="5">IF(ISERROR(N13/L13),"-",N13/L13)</f>
        <v>-</v>
      </c>
      <c r="P13" s="205"/>
      <c r="Q13" s="174"/>
      <c r="R13" s="75">
        <v>0</v>
      </c>
      <c r="S13" s="76">
        <f t="shared" ref="S13:S22" si="6">R13-Q13</f>
        <v>0</v>
      </c>
      <c r="T13" s="175" t="str">
        <f t="shared" ref="T13:T27" si="7">IF(ISERROR(S13/Q13),"-",S13/Q13)</f>
        <v>-</v>
      </c>
      <c r="U13" s="205"/>
      <c r="V13" s="181">
        <f t="shared" ref="V13:V22" si="8">B13+G13+L13+Q13</f>
        <v>7338000</v>
      </c>
      <c r="W13" s="76">
        <f>C13+H13+M13+R13</f>
        <v>5805966.7599999998</v>
      </c>
      <c r="X13" s="76">
        <f t="shared" ref="X13:X22" si="9">W13-V13</f>
        <v>-1532033.2400000002</v>
      </c>
      <c r="Y13" s="312">
        <f t="shared" ref="Y13:Y23" si="10">IF(ISERROR(X13/V13),"-",X13/V13)</f>
        <v>-0.2087807631507223</v>
      </c>
      <c r="Z13" s="205"/>
      <c r="AA13" s="181">
        <v>14676000</v>
      </c>
      <c r="AB13" s="76">
        <f t="shared" ref="AB13:AB22" si="11">AA13-W13</f>
        <v>8870033.2400000002</v>
      </c>
      <c r="AC13" s="312">
        <f t="shared" ref="AC13:AC23" si="12">IF(ISERROR(AB13/AA13),"-",AB13/AA13)</f>
        <v>0.60439038157536118</v>
      </c>
      <c r="AD13" s="162"/>
      <c r="AE13" s="77"/>
    </row>
    <row r="14" spans="1:31" ht="15.75" x14ac:dyDescent="0.25">
      <c r="A14" s="145" t="s">
        <v>179</v>
      </c>
      <c r="B14" s="174">
        <v>0</v>
      </c>
      <c r="C14" s="75">
        <v>0</v>
      </c>
      <c r="D14" s="76">
        <f t="shared" si="0"/>
        <v>0</v>
      </c>
      <c r="E14" s="312" t="str">
        <f t="shared" si="1"/>
        <v>-</v>
      </c>
      <c r="F14" s="205"/>
      <c r="G14" s="174">
        <v>0</v>
      </c>
      <c r="H14" s="75">
        <v>0</v>
      </c>
      <c r="I14" s="76">
        <f t="shared" si="2"/>
        <v>0</v>
      </c>
      <c r="J14" s="312" t="str">
        <f t="shared" si="3"/>
        <v>-</v>
      </c>
      <c r="K14" s="205"/>
      <c r="L14" s="174">
        <v>0</v>
      </c>
      <c r="M14" s="75">
        <v>0</v>
      </c>
      <c r="N14" s="76">
        <f t="shared" si="4"/>
        <v>0</v>
      </c>
      <c r="O14" s="312" t="str">
        <f t="shared" si="5"/>
        <v>-</v>
      </c>
      <c r="P14" s="205"/>
      <c r="Q14" s="174"/>
      <c r="R14" s="75">
        <v>0</v>
      </c>
      <c r="S14" s="76">
        <f t="shared" si="6"/>
        <v>0</v>
      </c>
      <c r="T14" s="175" t="str">
        <f t="shared" si="7"/>
        <v>-</v>
      </c>
      <c r="U14" s="205"/>
      <c r="V14" s="181">
        <f t="shared" si="8"/>
        <v>0</v>
      </c>
      <c r="W14" s="76">
        <f t="shared" ref="W14:W22" si="13">C14+H14+M14+R14</f>
        <v>0</v>
      </c>
      <c r="X14" s="76">
        <f t="shared" si="9"/>
        <v>0</v>
      </c>
      <c r="Y14" s="312" t="str">
        <f t="shared" si="10"/>
        <v>-</v>
      </c>
      <c r="Z14" s="205"/>
      <c r="AA14" s="181">
        <v>0</v>
      </c>
      <c r="AB14" s="76">
        <f t="shared" si="11"/>
        <v>0</v>
      </c>
      <c r="AC14" s="312" t="str">
        <f t="shared" si="12"/>
        <v>-</v>
      </c>
      <c r="AD14" s="162"/>
      <c r="AE14" s="77"/>
    </row>
    <row r="15" spans="1:31" ht="15.75" x14ac:dyDescent="0.25">
      <c r="A15" s="145" t="s">
        <v>24</v>
      </c>
      <c r="B15" s="174">
        <f>148.33*3</f>
        <v>444.99</v>
      </c>
      <c r="C15" s="75">
        <v>0</v>
      </c>
      <c r="D15" s="76">
        <f t="shared" si="0"/>
        <v>-444.99</v>
      </c>
      <c r="E15" s="312">
        <f t="shared" si="1"/>
        <v>-1</v>
      </c>
      <c r="F15" s="204"/>
      <c r="G15" s="174">
        <f>148.33*3</f>
        <v>444.99</v>
      </c>
      <c r="H15" s="75">
        <v>0</v>
      </c>
      <c r="I15" s="76">
        <f t="shared" si="2"/>
        <v>-444.99</v>
      </c>
      <c r="J15" s="312">
        <f t="shared" si="3"/>
        <v>-1</v>
      </c>
      <c r="K15" s="204"/>
      <c r="L15" s="174">
        <v>0</v>
      </c>
      <c r="M15" s="75">
        <v>0</v>
      </c>
      <c r="N15" s="76">
        <f t="shared" si="4"/>
        <v>0</v>
      </c>
      <c r="O15" s="312" t="str">
        <f t="shared" si="5"/>
        <v>-</v>
      </c>
      <c r="P15" s="204"/>
      <c r="Q15" s="174"/>
      <c r="R15" s="75">
        <v>0</v>
      </c>
      <c r="S15" s="76">
        <f t="shared" si="6"/>
        <v>0</v>
      </c>
      <c r="T15" s="176" t="str">
        <f t="shared" si="7"/>
        <v>-</v>
      </c>
      <c r="U15" s="204"/>
      <c r="V15" s="181">
        <f t="shared" si="8"/>
        <v>889.98</v>
      </c>
      <c r="W15" s="76">
        <f t="shared" si="13"/>
        <v>0</v>
      </c>
      <c r="X15" s="76">
        <f t="shared" si="9"/>
        <v>-889.98</v>
      </c>
      <c r="Y15" s="312">
        <f t="shared" si="10"/>
        <v>-1</v>
      </c>
      <c r="Z15" s="204"/>
      <c r="AA15" s="181">
        <v>1779.96</v>
      </c>
      <c r="AB15" s="76">
        <f t="shared" si="11"/>
        <v>1779.96</v>
      </c>
      <c r="AC15" s="312">
        <f t="shared" si="12"/>
        <v>1</v>
      </c>
      <c r="AD15" s="162"/>
      <c r="AE15" s="77"/>
    </row>
    <row r="16" spans="1:31" ht="15.75" x14ac:dyDescent="0.25">
      <c r="A16" s="145" t="s">
        <v>25</v>
      </c>
      <c r="B16" s="174">
        <f>1200</f>
        <v>1200</v>
      </c>
      <c r="C16" s="75">
        <v>0</v>
      </c>
      <c r="D16" s="76">
        <f t="shared" si="0"/>
        <v>-1200</v>
      </c>
      <c r="E16" s="312">
        <f t="shared" si="1"/>
        <v>-1</v>
      </c>
      <c r="F16" s="204"/>
      <c r="G16" s="174">
        <f>1200</f>
        <v>1200</v>
      </c>
      <c r="H16" s="75">
        <v>800</v>
      </c>
      <c r="I16" s="76">
        <f t="shared" si="2"/>
        <v>-400</v>
      </c>
      <c r="J16" s="312">
        <f t="shared" si="3"/>
        <v>-0.33333333333333331</v>
      </c>
      <c r="K16" s="204"/>
      <c r="L16" s="174">
        <v>0</v>
      </c>
      <c r="M16" s="75">
        <v>0</v>
      </c>
      <c r="N16" s="76">
        <f t="shared" si="4"/>
        <v>0</v>
      </c>
      <c r="O16" s="312" t="str">
        <f t="shared" si="5"/>
        <v>-</v>
      </c>
      <c r="P16" s="204"/>
      <c r="Q16" s="174"/>
      <c r="R16" s="75">
        <v>0</v>
      </c>
      <c r="S16" s="76">
        <f t="shared" si="6"/>
        <v>0</v>
      </c>
      <c r="T16" s="175" t="str">
        <f t="shared" si="7"/>
        <v>-</v>
      </c>
      <c r="U16" s="204"/>
      <c r="V16" s="181">
        <f t="shared" si="8"/>
        <v>2400</v>
      </c>
      <c r="W16" s="76">
        <f t="shared" si="13"/>
        <v>800</v>
      </c>
      <c r="X16" s="76">
        <f t="shared" si="9"/>
        <v>-1600</v>
      </c>
      <c r="Y16" s="312">
        <f t="shared" si="10"/>
        <v>-0.66666666666666663</v>
      </c>
      <c r="Z16" s="204"/>
      <c r="AA16" s="181">
        <v>4800</v>
      </c>
      <c r="AB16" s="76">
        <f t="shared" si="11"/>
        <v>4000</v>
      </c>
      <c r="AC16" s="312">
        <f t="shared" si="12"/>
        <v>0.83333333333333337</v>
      </c>
      <c r="AD16" s="162"/>
      <c r="AE16" s="77"/>
    </row>
    <row r="17" spans="1:31" ht="15.75" x14ac:dyDescent="0.25">
      <c r="A17" s="145" t="s">
        <v>26</v>
      </c>
      <c r="B17" s="368">
        <f>(49435.01*3)-B16-B15</f>
        <v>146660.04</v>
      </c>
      <c r="C17" s="75">
        <v>388686.39</v>
      </c>
      <c r="D17" s="76">
        <f t="shared" si="0"/>
        <v>242026.35</v>
      </c>
      <c r="E17" s="312">
        <f t="shared" si="1"/>
        <v>1.650254220577057</v>
      </c>
      <c r="F17" s="204"/>
      <c r="G17" s="368">
        <f>(49435.01*3)-G16-G15</f>
        <v>146660.04</v>
      </c>
      <c r="H17" s="75">
        <f>6244.86+138934.99+260901.48-H15-H16</f>
        <v>405281.32999999996</v>
      </c>
      <c r="I17" s="76">
        <f t="shared" si="2"/>
        <v>258621.28999999995</v>
      </c>
      <c r="J17" s="312">
        <f t="shared" si="3"/>
        <v>1.7634066511914215</v>
      </c>
      <c r="K17" s="204"/>
      <c r="L17" s="174">
        <v>0</v>
      </c>
      <c r="M17" s="75">
        <v>0</v>
      </c>
      <c r="N17" s="76">
        <f t="shared" si="4"/>
        <v>0</v>
      </c>
      <c r="O17" s="312" t="str">
        <f t="shared" si="5"/>
        <v>-</v>
      </c>
      <c r="P17" s="204"/>
      <c r="Q17" s="174"/>
      <c r="R17" s="75">
        <v>0</v>
      </c>
      <c r="S17" s="76">
        <f t="shared" si="6"/>
        <v>0</v>
      </c>
      <c r="T17" s="175" t="str">
        <f t="shared" si="7"/>
        <v>-</v>
      </c>
      <c r="U17" s="204"/>
      <c r="V17" s="281">
        <f t="shared" si="8"/>
        <v>293320.08</v>
      </c>
      <c r="W17" s="76">
        <f t="shared" si="13"/>
        <v>793967.72</v>
      </c>
      <c r="X17" s="76">
        <f t="shared" si="9"/>
        <v>500647.63999999996</v>
      </c>
      <c r="Y17" s="312">
        <f t="shared" si="10"/>
        <v>1.7068304358842392</v>
      </c>
      <c r="Z17" s="204"/>
      <c r="AA17" s="181">
        <v>586640.16</v>
      </c>
      <c r="AB17" s="76">
        <f t="shared" si="11"/>
        <v>-207327.55999999994</v>
      </c>
      <c r="AC17" s="312">
        <f t="shared" si="12"/>
        <v>-0.35341521794211961</v>
      </c>
      <c r="AD17" s="162"/>
      <c r="AE17" s="78"/>
    </row>
    <row r="18" spans="1:31" ht="15.75" x14ac:dyDescent="0.25">
      <c r="A18" s="145" t="s">
        <v>180</v>
      </c>
      <c r="B18" s="174">
        <v>0</v>
      </c>
      <c r="C18" s="75">
        <v>0</v>
      </c>
      <c r="D18" s="76">
        <f t="shared" si="0"/>
        <v>0</v>
      </c>
      <c r="E18" s="312" t="str">
        <f t="shared" si="1"/>
        <v>-</v>
      </c>
      <c r="F18" s="204"/>
      <c r="G18" s="174"/>
      <c r="H18" s="75">
        <v>0</v>
      </c>
      <c r="I18" s="76">
        <f t="shared" si="2"/>
        <v>0</v>
      </c>
      <c r="J18" s="312" t="str">
        <f t="shared" si="3"/>
        <v>-</v>
      </c>
      <c r="K18" s="204"/>
      <c r="L18" s="174">
        <v>0</v>
      </c>
      <c r="M18" s="75">
        <v>0</v>
      </c>
      <c r="N18" s="76">
        <f t="shared" si="4"/>
        <v>0</v>
      </c>
      <c r="O18" s="312" t="str">
        <f t="shared" si="5"/>
        <v>-</v>
      </c>
      <c r="P18" s="204"/>
      <c r="Q18" s="174"/>
      <c r="R18" s="75">
        <v>0</v>
      </c>
      <c r="S18" s="76">
        <f t="shared" si="6"/>
        <v>0</v>
      </c>
      <c r="T18" s="176" t="str">
        <f t="shared" si="7"/>
        <v>-</v>
      </c>
      <c r="U18" s="204"/>
      <c r="V18" s="181">
        <f t="shared" si="8"/>
        <v>0</v>
      </c>
      <c r="W18" s="76">
        <f t="shared" si="13"/>
        <v>0</v>
      </c>
      <c r="X18" s="76">
        <f t="shared" si="9"/>
        <v>0</v>
      </c>
      <c r="Y18" s="312" t="str">
        <f t="shared" si="10"/>
        <v>-</v>
      </c>
      <c r="Z18" s="204"/>
      <c r="AA18" s="181">
        <v>0</v>
      </c>
      <c r="AB18" s="76">
        <f t="shared" si="11"/>
        <v>0</v>
      </c>
      <c r="AC18" s="312" t="str">
        <f t="shared" si="12"/>
        <v>-</v>
      </c>
      <c r="AD18" s="162"/>
      <c r="AE18" s="77"/>
    </row>
    <row r="19" spans="1:31" ht="15.75" x14ac:dyDescent="0.25">
      <c r="A19" s="145" t="s">
        <v>28</v>
      </c>
      <c r="B19" s="174">
        <v>4165603.23</v>
      </c>
      <c r="C19" s="75">
        <v>4665603.2300000004</v>
      </c>
      <c r="D19" s="76">
        <f t="shared" si="0"/>
        <v>500000.00000000047</v>
      </c>
      <c r="E19" s="312">
        <f t="shared" si="1"/>
        <v>0.12003063479475948</v>
      </c>
      <c r="F19" s="204"/>
      <c r="G19" s="174">
        <v>4165603</v>
      </c>
      <c r="H19" s="75">
        <f>1388534.41+1888534.41+1388534.41</f>
        <v>4665603.2299999995</v>
      </c>
      <c r="I19" s="76">
        <f t="shared" si="2"/>
        <v>500000.22999999952</v>
      </c>
      <c r="J19" s="312">
        <f t="shared" si="3"/>
        <v>0.12003069663623718</v>
      </c>
      <c r="K19" s="204"/>
      <c r="L19" s="174">
        <v>0</v>
      </c>
      <c r="M19" s="75">
        <v>0</v>
      </c>
      <c r="N19" s="76">
        <f t="shared" si="4"/>
        <v>0</v>
      </c>
      <c r="O19" s="312" t="str">
        <f t="shared" si="5"/>
        <v>-</v>
      </c>
      <c r="P19" s="204"/>
      <c r="Q19" s="174"/>
      <c r="R19" s="75">
        <v>0</v>
      </c>
      <c r="S19" s="76">
        <f t="shared" si="6"/>
        <v>0</v>
      </c>
      <c r="T19" s="176" t="str">
        <f t="shared" si="7"/>
        <v>-</v>
      </c>
      <c r="U19" s="204"/>
      <c r="V19" s="181">
        <f t="shared" si="8"/>
        <v>8331206.2300000004</v>
      </c>
      <c r="W19" s="76">
        <f t="shared" si="13"/>
        <v>9331206.4600000009</v>
      </c>
      <c r="X19" s="76">
        <f t="shared" si="9"/>
        <v>1000000.2300000004</v>
      </c>
      <c r="Y19" s="312">
        <f t="shared" si="10"/>
        <v>0.12003066571549753</v>
      </c>
      <c r="Z19" s="204"/>
      <c r="AA19" s="181">
        <v>16662412.23</v>
      </c>
      <c r="AB19" s="76">
        <f t="shared" si="11"/>
        <v>7331205.7699999996</v>
      </c>
      <c r="AC19" s="312">
        <f t="shared" si="12"/>
        <v>0.43998465941206638</v>
      </c>
      <c r="AD19" s="162"/>
      <c r="AE19" s="77"/>
    </row>
    <row r="20" spans="1:31" ht="15.75" x14ac:dyDescent="0.25">
      <c r="A20" s="144" t="s">
        <v>181</v>
      </c>
      <c r="B20" s="174">
        <v>0</v>
      </c>
      <c r="C20" s="75">
        <v>0</v>
      </c>
      <c r="D20" s="76">
        <f t="shared" si="0"/>
        <v>0</v>
      </c>
      <c r="E20" s="312" t="str">
        <f t="shared" si="1"/>
        <v>-</v>
      </c>
      <c r="F20" s="204"/>
      <c r="G20" s="174">
        <v>0</v>
      </c>
      <c r="H20" s="75">
        <v>0</v>
      </c>
      <c r="I20" s="76">
        <f t="shared" si="2"/>
        <v>0</v>
      </c>
      <c r="J20" s="312" t="str">
        <f t="shared" si="3"/>
        <v>-</v>
      </c>
      <c r="K20" s="204"/>
      <c r="L20" s="174">
        <v>0</v>
      </c>
      <c r="M20" s="75">
        <v>0</v>
      </c>
      <c r="N20" s="76">
        <f t="shared" si="4"/>
        <v>0</v>
      </c>
      <c r="O20" s="312" t="str">
        <f t="shared" si="5"/>
        <v>-</v>
      </c>
      <c r="P20" s="204"/>
      <c r="Q20" s="174"/>
      <c r="R20" s="75">
        <v>0</v>
      </c>
      <c r="S20" s="76">
        <f t="shared" si="6"/>
        <v>0</v>
      </c>
      <c r="T20" s="176" t="str">
        <f t="shared" si="7"/>
        <v>-</v>
      </c>
      <c r="U20" s="204"/>
      <c r="V20" s="181">
        <f t="shared" si="8"/>
        <v>0</v>
      </c>
      <c r="W20" s="76">
        <f t="shared" si="13"/>
        <v>0</v>
      </c>
      <c r="X20" s="76">
        <f t="shared" si="9"/>
        <v>0</v>
      </c>
      <c r="Y20" s="312" t="str">
        <f t="shared" si="10"/>
        <v>-</v>
      </c>
      <c r="Z20" s="204"/>
      <c r="AA20" s="181">
        <v>0</v>
      </c>
      <c r="AB20" s="76">
        <f t="shared" si="11"/>
        <v>0</v>
      </c>
      <c r="AC20" s="312" t="str">
        <f t="shared" si="12"/>
        <v>-</v>
      </c>
      <c r="AD20" s="162"/>
      <c r="AE20" s="77"/>
    </row>
    <row r="21" spans="1:31" ht="15.75" x14ac:dyDescent="0.25">
      <c r="A21" s="145" t="s">
        <v>30</v>
      </c>
      <c r="B21" s="174">
        <v>0</v>
      </c>
      <c r="C21" s="75">
        <v>0</v>
      </c>
      <c r="D21" s="76">
        <f t="shared" si="0"/>
        <v>0</v>
      </c>
      <c r="E21" s="312" t="str">
        <f t="shared" si="1"/>
        <v>-</v>
      </c>
      <c r="F21" s="204"/>
      <c r="G21" s="174">
        <v>0</v>
      </c>
      <c r="H21" s="75">
        <v>0</v>
      </c>
      <c r="I21" s="76">
        <f t="shared" si="2"/>
        <v>0</v>
      </c>
      <c r="J21" s="312" t="str">
        <f t="shared" si="3"/>
        <v>-</v>
      </c>
      <c r="K21" s="204"/>
      <c r="L21" s="174">
        <v>0</v>
      </c>
      <c r="M21" s="75">
        <v>0</v>
      </c>
      <c r="N21" s="76">
        <f t="shared" si="4"/>
        <v>0</v>
      </c>
      <c r="O21" s="312" t="str">
        <f t="shared" si="5"/>
        <v>-</v>
      </c>
      <c r="P21" s="204"/>
      <c r="Q21" s="174">
        <f>L21</f>
        <v>0</v>
      </c>
      <c r="R21" s="75">
        <v>0</v>
      </c>
      <c r="S21" s="76">
        <f t="shared" si="6"/>
        <v>0</v>
      </c>
      <c r="T21" s="176" t="str">
        <f t="shared" si="7"/>
        <v>-</v>
      </c>
      <c r="U21" s="204"/>
      <c r="V21" s="181">
        <f t="shared" si="8"/>
        <v>0</v>
      </c>
      <c r="W21" s="76">
        <f t="shared" si="13"/>
        <v>0</v>
      </c>
      <c r="X21" s="76">
        <f t="shared" si="9"/>
        <v>0</v>
      </c>
      <c r="Y21" s="312" t="str">
        <f t="shared" si="10"/>
        <v>-</v>
      </c>
      <c r="Z21" s="204"/>
      <c r="AA21" s="181">
        <v>0</v>
      </c>
      <c r="AB21" s="76">
        <f t="shared" si="11"/>
        <v>0</v>
      </c>
      <c r="AC21" s="312" t="str">
        <f t="shared" si="12"/>
        <v>-</v>
      </c>
      <c r="AD21" s="162"/>
      <c r="AE21" s="77"/>
    </row>
    <row r="22" spans="1:31" ht="15.75" x14ac:dyDescent="0.25">
      <c r="A22" s="145" t="s">
        <v>31</v>
      </c>
      <c r="B22" s="174">
        <v>0</v>
      </c>
      <c r="C22" s="75">
        <v>0</v>
      </c>
      <c r="D22" s="76">
        <f t="shared" si="0"/>
        <v>0</v>
      </c>
      <c r="E22" s="312" t="str">
        <f t="shared" si="1"/>
        <v>-</v>
      </c>
      <c r="F22" s="204"/>
      <c r="G22" s="174"/>
      <c r="H22" s="75">
        <v>0</v>
      </c>
      <c r="I22" s="76">
        <f t="shared" si="2"/>
        <v>0</v>
      </c>
      <c r="J22" s="312" t="str">
        <f t="shared" si="3"/>
        <v>-</v>
      </c>
      <c r="K22" s="204"/>
      <c r="L22" s="174">
        <v>0</v>
      </c>
      <c r="M22" s="75">
        <v>0</v>
      </c>
      <c r="N22" s="76">
        <f t="shared" si="4"/>
        <v>0</v>
      </c>
      <c r="O22" s="312" t="str">
        <f t="shared" si="5"/>
        <v>-</v>
      </c>
      <c r="P22" s="204"/>
      <c r="Q22" s="174"/>
      <c r="R22" s="75">
        <v>0</v>
      </c>
      <c r="S22" s="76">
        <f t="shared" si="6"/>
        <v>0</v>
      </c>
      <c r="T22" s="176" t="str">
        <f t="shared" si="7"/>
        <v>-</v>
      </c>
      <c r="U22" s="204"/>
      <c r="V22" s="181">
        <f t="shared" si="8"/>
        <v>0</v>
      </c>
      <c r="W22" s="76">
        <f t="shared" si="13"/>
        <v>0</v>
      </c>
      <c r="X22" s="76">
        <f t="shared" si="9"/>
        <v>0</v>
      </c>
      <c r="Y22" s="312" t="str">
        <f t="shared" si="10"/>
        <v>-</v>
      </c>
      <c r="Z22" s="204"/>
      <c r="AA22" s="181">
        <v>0</v>
      </c>
      <c r="AB22" s="76">
        <f t="shared" si="11"/>
        <v>0</v>
      </c>
      <c r="AC22" s="312" t="str">
        <f t="shared" si="12"/>
        <v>-</v>
      </c>
      <c r="AD22" s="162"/>
      <c r="AE22" s="77"/>
    </row>
    <row r="23" spans="1:31" ht="15.75" x14ac:dyDescent="0.25">
      <c r="A23" s="146" t="s">
        <v>32</v>
      </c>
      <c r="B23" s="177">
        <f>SUM(B13:B22)</f>
        <v>7982908.2599999998</v>
      </c>
      <c r="C23" s="110">
        <f>SUM(C13:C22)</f>
        <v>7790802.0800000001</v>
      </c>
      <c r="D23" s="110">
        <f>SUM(D13:D22)</f>
        <v>-192106.17999999959</v>
      </c>
      <c r="E23" s="316">
        <f t="shared" si="1"/>
        <v>-2.4064685919364379E-2</v>
      </c>
      <c r="F23" s="206"/>
      <c r="G23" s="177">
        <f>SUM(G13:G22)</f>
        <v>7982908.0300000003</v>
      </c>
      <c r="H23" s="110">
        <f>SUM(H13:H22)</f>
        <v>8141138.8599999994</v>
      </c>
      <c r="I23" s="110">
        <f>SUM(I13:I22)</f>
        <v>158230.82999999926</v>
      </c>
      <c r="J23" s="316">
        <f t="shared" si="3"/>
        <v>1.982120167304486E-2</v>
      </c>
      <c r="K23" s="206"/>
      <c r="L23" s="177">
        <f>SUM(L13:L22)</f>
        <v>0</v>
      </c>
      <c r="M23" s="110">
        <f>SUM(M13:M22)</f>
        <v>0</v>
      </c>
      <c r="N23" s="110">
        <f>SUM(N13:N22)</f>
        <v>0</v>
      </c>
      <c r="O23" s="316" t="str">
        <f t="shared" si="5"/>
        <v>-</v>
      </c>
      <c r="P23" s="206"/>
      <c r="Q23" s="177">
        <f>SUM(Q13:Q22)</f>
        <v>0</v>
      </c>
      <c r="R23" s="110">
        <f>SUM(R13:R22)</f>
        <v>0</v>
      </c>
      <c r="S23" s="110">
        <f>SUM(S13:S22)</f>
        <v>0</v>
      </c>
      <c r="T23" s="236" t="str">
        <f t="shared" si="7"/>
        <v>-</v>
      </c>
      <c r="U23" s="206"/>
      <c r="V23" s="177">
        <f>SUM(V13:V22)</f>
        <v>15965816.290000001</v>
      </c>
      <c r="W23" s="110">
        <f>SUM(W13:W22)</f>
        <v>15931940.940000001</v>
      </c>
      <c r="X23" s="110">
        <f>SUM(X13:X22)</f>
        <v>-33875.34999999986</v>
      </c>
      <c r="Y23" s="367">
        <f t="shared" si="10"/>
        <v>-2.121742439264899E-3</v>
      </c>
      <c r="Z23" s="206"/>
      <c r="AA23" s="242">
        <f>SUM(AA13:AA22)</f>
        <v>31931632.350000001</v>
      </c>
      <c r="AB23" s="109">
        <f>SUM(AB13:AB22)</f>
        <v>15999691.41</v>
      </c>
      <c r="AC23" s="365">
        <f t="shared" si="12"/>
        <v>0.50106086762582935</v>
      </c>
      <c r="AD23" s="164"/>
      <c r="AE23" s="80"/>
    </row>
    <row r="24" spans="1:31" ht="15.75" x14ac:dyDescent="0.25">
      <c r="A24" s="147"/>
      <c r="B24" s="179"/>
      <c r="C24" s="81"/>
      <c r="D24" s="81"/>
      <c r="E24" s="314"/>
      <c r="F24" s="204"/>
      <c r="G24" s="211"/>
      <c r="H24" s="129"/>
      <c r="I24" s="129"/>
      <c r="J24" s="315"/>
      <c r="K24" s="204"/>
      <c r="L24" s="179"/>
      <c r="M24" s="81"/>
      <c r="N24" s="81"/>
      <c r="O24" s="314"/>
      <c r="P24" s="204"/>
      <c r="Q24" s="211"/>
      <c r="R24" s="129"/>
      <c r="S24" s="129"/>
      <c r="T24" s="237" t="str">
        <f t="shared" si="7"/>
        <v>-</v>
      </c>
      <c r="U24" s="204"/>
      <c r="V24" s="179"/>
      <c r="W24" s="81"/>
      <c r="X24" s="81"/>
      <c r="Y24" s="314"/>
      <c r="Z24" s="204"/>
      <c r="AA24" s="179"/>
      <c r="AB24" s="81"/>
      <c r="AC24" s="314"/>
      <c r="AD24" s="162"/>
      <c r="AE24" s="77"/>
    </row>
    <row r="25" spans="1:31" ht="15.75" x14ac:dyDescent="0.25">
      <c r="A25" s="148" t="s">
        <v>33</v>
      </c>
      <c r="B25" s="181"/>
      <c r="C25" s="76"/>
      <c r="D25" s="76">
        <f>C25-B25</f>
        <v>0</v>
      </c>
      <c r="E25" s="312" t="str">
        <f>IF(ISERROR(D25/B25),"-",D25/B25)</f>
        <v>-</v>
      </c>
      <c r="F25" s="204"/>
      <c r="G25" s="213">
        <v>0</v>
      </c>
      <c r="H25" s="130">
        <v>0</v>
      </c>
      <c r="I25" s="130">
        <f>H25-G25</f>
        <v>0</v>
      </c>
      <c r="J25" s="313" t="str">
        <f>IF(ISERROR(I25/G25),"-",I25/G25)</f>
        <v>-</v>
      </c>
      <c r="K25" s="204"/>
      <c r="L25" s="181">
        <v>0</v>
      </c>
      <c r="M25" s="76">
        <v>0</v>
      </c>
      <c r="N25" s="76">
        <f>L25-M25</f>
        <v>0</v>
      </c>
      <c r="O25" s="312" t="str">
        <f>IF(ISERROR(N25/L25),"-",N25/L25)</f>
        <v>-</v>
      </c>
      <c r="P25" s="204"/>
      <c r="Q25" s="213"/>
      <c r="R25" s="130"/>
      <c r="S25" s="130">
        <f>Q25-R25</f>
        <v>0</v>
      </c>
      <c r="T25" s="214" t="str">
        <f t="shared" si="7"/>
        <v>-</v>
      </c>
      <c r="U25" s="204"/>
      <c r="V25" s="181">
        <f>B25+G25+L25+Q25</f>
        <v>0</v>
      </c>
      <c r="W25" s="76">
        <f>C25+H25+M25+R25</f>
        <v>0</v>
      </c>
      <c r="X25" s="76"/>
      <c r="Y25" s="330"/>
      <c r="Z25" s="204"/>
      <c r="AA25" s="181"/>
      <c r="AB25" s="76"/>
      <c r="AC25" s="330"/>
      <c r="AD25" s="162"/>
      <c r="AE25" s="77"/>
    </row>
    <row r="26" spans="1:31" ht="15.75" x14ac:dyDescent="0.25">
      <c r="A26" s="149"/>
      <c r="B26" s="182"/>
      <c r="C26" s="82"/>
      <c r="D26" s="82"/>
      <c r="E26" s="366"/>
      <c r="F26" s="203"/>
      <c r="G26" s="215"/>
      <c r="H26" s="131"/>
      <c r="I26" s="131"/>
      <c r="J26" s="311"/>
      <c r="K26" s="203"/>
      <c r="L26" s="182"/>
      <c r="M26" s="82"/>
      <c r="N26" s="82"/>
      <c r="O26" s="366"/>
      <c r="P26" s="203"/>
      <c r="Q26" s="215"/>
      <c r="R26" s="131"/>
      <c r="S26" s="131"/>
      <c r="T26" s="227" t="str">
        <f t="shared" si="7"/>
        <v>-</v>
      </c>
      <c r="U26" s="203"/>
      <c r="V26" s="182"/>
      <c r="W26" s="82"/>
      <c r="X26" s="82"/>
      <c r="Y26" s="366"/>
      <c r="Z26" s="203"/>
      <c r="AA26" s="182"/>
      <c r="AB26" s="82"/>
      <c r="AC26" s="366"/>
      <c r="AD26" s="161"/>
      <c r="AE26" s="77"/>
    </row>
    <row r="27" spans="1:31" ht="15.75" x14ac:dyDescent="0.25">
      <c r="A27" s="146" t="s">
        <v>34</v>
      </c>
      <c r="B27" s="177">
        <f>B23+B25</f>
        <v>7982908.2599999998</v>
      </c>
      <c r="C27" s="110">
        <f>C23+C25</f>
        <v>7790802.0800000001</v>
      </c>
      <c r="D27" s="110">
        <f>D23+D25</f>
        <v>-192106.17999999959</v>
      </c>
      <c r="E27" s="316">
        <f>IF(ISERROR(D27/B27),"-",D27/B27)</f>
        <v>-2.4064685919364379E-2</v>
      </c>
      <c r="F27" s="206"/>
      <c r="G27" s="177">
        <f>G23+G25</f>
        <v>7982908.0300000003</v>
      </c>
      <c r="H27" s="110">
        <f>H23+H25</f>
        <v>8141138.8599999994</v>
      </c>
      <c r="I27" s="110">
        <f>I23+I25</f>
        <v>158230.82999999926</v>
      </c>
      <c r="J27" s="316">
        <f>IF(ISERROR(I27/G27),"-",I27/G27)</f>
        <v>1.982120167304486E-2</v>
      </c>
      <c r="K27" s="206"/>
      <c r="L27" s="177">
        <f>L23+L25</f>
        <v>0</v>
      </c>
      <c r="M27" s="110">
        <f>M23+M25</f>
        <v>0</v>
      </c>
      <c r="N27" s="110">
        <f>N23+N25</f>
        <v>0</v>
      </c>
      <c r="O27" s="316" t="str">
        <f>IF(ISERROR(N27/L27),"-",N27/L27)</f>
        <v>-</v>
      </c>
      <c r="P27" s="206"/>
      <c r="Q27" s="177">
        <f>Q23+Q25</f>
        <v>0</v>
      </c>
      <c r="R27" s="110">
        <f>R23+R25</f>
        <v>0</v>
      </c>
      <c r="S27" s="110">
        <f>S23+S25</f>
        <v>0</v>
      </c>
      <c r="T27" s="178" t="str">
        <f t="shared" si="7"/>
        <v>-</v>
      </c>
      <c r="U27" s="206"/>
      <c r="V27" s="177">
        <f>V23+V25</f>
        <v>15965816.290000001</v>
      </c>
      <c r="W27" s="110">
        <f>W23+W25</f>
        <v>15931940.940000001</v>
      </c>
      <c r="X27" s="110">
        <f>X23+X25</f>
        <v>-33875.34999999986</v>
      </c>
      <c r="Y27" s="316">
        <f>IF(ISERROR(X27/V27),"-",X27/V27)</f>
        <v>-2.121742439264899E-3</v>
      </c>
      <c r="Z27" s="206"/>
      <c r="AA27" s="242">
        <f>AA23+AA25</f>
        <v>31931632.350000001</v>
      </c>
      <c r="AB27" s="109">
        <f>AA27-W27</f>
        <v>15999691.41</v>
      </c>
      <c r="AC27" s="365">
        <f>IF(ISERROR(AB27/AA27),"-",AB27/AA27)</f>
        <v>0.50106086762582935</v>
      </c>
      <c r="AD27" s="164"/>
      <c r="AE27" s="80"/>
    </row>
    <row r="28" spans="1:31" ht="15.75" x14ac:dyDescent="0.25">
      <c r="A28" s="150"/>
      <c r="B28" s="184"/>
      <c r="C28" s="73"/>
      <c r="D28" s="73"/>
      <c r="E28" s="361"/>
      <c r="F28" s="203"/>
      <c r="G28" s="217"/>
      <c r="H28" s="364"/>
      <c r="I28" s="363"/>
      <c r="J28" s="362"/>
      <c r="K28" s="203"/>
      <c r="L28" s="184"/>
      <c r="M28" s="73"/>
      <c r="N28" s="73"/>
      <c r="O28" s="361"/>
      <c r="P28" s="203"/>
      <c r="Q28" s="217"/>
      <c r="R28" s="132"/>
      <c r="S28" s="132"/>
      <c r="T28" s="218"/>
      <c r="U28" s="203"/>
      <c r="V28" s="179"/>
      <c r="W28" s="81"/>
      <c r="X28" s="73"/>
      <c r="Y28" s="361"/>
      <c r="Z28" s="203"/>
      <c r="AA28" s="179"/>
      <c r="AB28" s="73"/>
      <c r="AC28" s="361"/>
      <c r="AD28" s="161"/>
      <c r="AE28" s="77"/>
    </row>
    <row r="29" spans="1:31" ht="15.75" x14ac:dyDescent="0.25">
      <c r="A29" s="148" t="s">
        <v>35</v>
      </c>
      <c r="B29" s="181"/>
      <c r="C29" s="76"/>
      <c r="D29" s="76"/>
      <c r="E29" s="330"/>
      <c r="F29" s="204"/>
      <c r="G29" s="213"/>
      <c r="H29" s="341"/>
      <c r="I29" s="340"/>
      <c r="J29" s="359"/>
      <c r="K29" s="204"/>
      <c r="L29" s="181"/>
      <c r="M29" s="76"/>
      <c r="N29" s="76"/>
      <c r="O29" s="330"/>
      <c r="P29" s="204"/>
      <c r="Q29" s="213"/>
      <c r="R29" s="130"/>
      <c r="S29" s="130"/>
      <c r="T29" s="219"/>
      <c r="U29" s="204"/>
      <c r="V29" s="181"/>
      <c r="W29" s="76"/>
      <c r="X29" s="76"/>
      <c r="Y29" s="330"/>
      <c r="Z29" s="204"/>
      <c r="AA29" s="181"/>
      <c r="AB29" s="329"/>
      <c r="AC29" s="357"/>
      <c r="AD29" s="162"/>
      <c r="AE29" s="77"/>
    </row>
    <row r="30" spans="1:31" ht="15.75" x14ac:dyDescent="0.25">
      <c r="A30" s="151"/>
      <c r="B30" s="351"/>
      <c r="C30" s="250"/>
      <c r="D30" s="76"/>
      <c r="E30" s="330"/>
      <c r="F30" s="204"/>
      <c r="G30" s="213"/>
      <c r="H30" s="341"/>
      <c r="I30" s="340"/>
      <c r="J30" s="359"/>
      <c r="K30" s="204"/>
      <c r="L30" s="181"/>
      <c r="M30" s="76"/>
      <c r="N30" s="76"/>
      <c r="O30" s="330"/>
      <c r="P30" s="204"/>
      <c r="Q30" s="213"/>
      <c r="R30" s="130"/>
      <c r="S30" s="341"/>
      <c r="T30" s="358"/>
      <c r="U30" s="352"/>
      <c r="V30" s="250"/>
      <c r="W30" s="76"/>
      <c r="X30" s="76"/>
      <c r="Y30" s="330"/>
      <c r="Z30" s="204"/>
      <c r="AA30" s="351"/>
      <c r="AB30" s="350"/>
      <c r="AC30" s="357"/>
      <c r="AD30" s="162"/>
      <c r="AE30" s="77"/>
    </row>
    <row r="31" spans="1:31" ht="15.75" x14ac:dyDescent="0.25">
      <c r="A31" s="360" t="s">
        <v>36</v>
      </c>
      <c r="B31" s="351"/>
      <c r="C31" s="350"/>
      <c r="D31" s="345"/>
      <c r="E31" s="357"/>
      <c r="F31" s="354"/>
      <c r="G31" s="303"/>
      <c r="H31" s="341"/>
      <c r="I31" s="340"/>
      <c r="J31" s="359"/>
      <c r="K31" s="204"/>
      <c r="L31" s="181"/>
      <c r="M31" s="76"/>
      <c r="N31" s="343"/>
      <c r="O31" s="357"/>
      <c r="P31" s="204"/>
      <c r="Q31" s="213"/>
      <c r="R31" s="130"/>
      <c r="S31" s="341"/>
      <c r="T31" s="358"/>
      <c r="U31" s="352"/>
      <c r="V31" s="250"/>
      <c r="W31" s="76"/>
      <c r="X31" s="76"/>
      <c r="Y31" s="330"/>
      <c r="Z31" s="204"/>
      <c r="AA31" s="351"/>
      <c r="AB31" s="350"/>
      <c r="AC31" s="357"/>
      <c r="AD31" s="162"/>
      <c r="AE31" s="77"/>
    </row>
    <row r="32" spans="1:31" ht="15.75" x14ac:dyDescent="0.25">
      <c r="A32" s="356" t="s">
        <v>37</v>
      </c>
      <c r="B32" s="351">
        <f>1641887.7*3</f>
        <v>4925663.0999999996</v>
      </c>
      <c r="C32" s="350">
        <v>4728057</v>
      </c>
      <c r="D32" s="345">
        <f>B32-C32</f>
        <v>197606.09999999963</v>
      </c>
      <c r="E32" s="342">
        <f t="shared" ref="E32:E40" si="14">IF(ISERROR(D32/B32),"-",D32/B32)</f>
        <v>4.0117664563782213E-2</v>
      </c>
      <c r="F32" s="354"/>
      <c r="G32" s="351">
        <f>1641887.7*3</f>
        <v>4925663.0999999996</v>
      </c>
      <c r="H32" s="340">
        <f>1473373+1515627.23+1535315.38</f>
        <v>4524315.6099999994</v>
      </c>
      <c r="I32" s="340">
        <f>G32-H32</f>
        <v>401347.49000000022</v>
      </c>
      <c r="J32" s="344">
        <f t="shared" ref="J32:J40" si="15">IF(ISERROR(I32/G32),"-",I32/G32)</f>
        <v>8.1480905586092611E-2</v>
      </c>
      <c r="K32" s="204"/>
      <c r="L32" s="181">
        <v>0</v>
      </c>
      <c r="M32" s="76">
        <v>0</v>
      </c>
      <c r="N32" s="343">
        <f>L32-M32</f>
        <v>0</v>
      </c>
      <c r="O32" s="342" t="str">
        <f t="shared" ref="O32:O40" si="16">IF(ISERROR(N32/L32),"-",N32/L32)</f>
        <v>-</v>
      </c>
      <c r="P32" s="204"/>
      <c r="Q32" s="213"/>
      <c r="R32" s="341">
        <v>0</v>
      </c>
      <c r="S32" s="340">
        <f>Q32-R32</f>
        <v>0</v>
      </c>
      <c r="T32" s="353" t="str">
        <f t="shared" ref="T32:T40" si="17">IF(ISERROR(S32/Q32),"-",S32/Q32)</f>
        <v>-</v>
      </c>
      <c r="U32" s="352"/>
      <c r="V32" s="250">
        <f t="shared" ref="V32:W39" si="18">B32+G32+L32+Q32</f>
        <v>9851326.1999999993</v>
      </c>
      <c r="W32" s="76">
        <f t="shared" si="18"/>
        <v>9252372.6099999994</v>
      </c>
      <c r="X32" s="76">
        <f t="shared" ref="X32:X37" si="19">V32-W32</f>
        <v>598953.58999999985</v>
      </c>
      <c r="Y32" s="312">
        <f t="shared" ref="Y32:Y40" si="20">IF(ISERROR(X32/V32),"-",X32/V32)</f>
        <v>6.0799285074937412E-2</v>
      </c>
      <c r="Z32" s="204"/>
      <c r="AA32" s="351">
        <v>19702652.399999999</v>
      </c>
      <c r="AB32" s="350">
        <f t="shared" ref="AB32:AB39" si="21">AA32-W32</f>
        <v>10450279.789999999</v>
      </c>
      <c r="AC32" s="349">
        <f t="shared" ref="AC32:AC40" si="22">IF(ISERROR(AB32/AA32),"-",AB32/AA32)</f>
        <v>0.53039964253746874</v>
      </c>
      <c r="AD32" s="163"/>
      <c r="AE32" s="83"/>
    </row>
    <row r="33" spans="1:31" ht="15.75" x14ac:dyDescent="0.25">
      <c r="A33" s="322" t="s">
        <v>38</v>
      </c>
      <c r="B33" s="174">
        <v>0</v>
      </c>
      <c r="C33" s="75">
        <v>0</v>
      </c>
      <c r="D33" s="345">
        <f t="shared" ref="D33:D38" si="23">B33-C33</f>
        <v>0</v>
      </c>
      <c r="E33" s="312" t="str">
        <f t="shared" si="14"/>
        <v>-</v>
      </c>
      <c r="F33" s="204"/>
      <c r="G33" s="174">
        <v>0</v>
      </c>
      <c r="H33" s="75">
        <v>0</v>
      </c>
      <c r="I33" s="340">
        <f t="shared" ref="I33:I38" si="24">G33-H33</f>
        <v>0</v>
      </c>
      <c r="J33" s="312" t="str">
        <f t="shared" si="15"/>
        <v>-</v>
      </c>
      <c r="K33" s="204"/>
      <c r="L33" s="174">
        <v>0</v>
      </c>
      <c r="M33" s="75">
        <v>0</v>
      </c>
      <c r="N33" s="76">
        <f>M33-L33</f>
        <v>0</v>
      </c>
      <c r="O33" s="312" t="str">
        <f t="shared" si="16"/>
        <v>-</v>
      </c>
      <c r="P33" s="204"/>
      <c r="Q33" s="174">
        <f>L33</f>
        <v>0</v>
      </c>
      <c r="R33" s="75">
        <v>0</v>
      </c>
      <c r="S33" s="76">
        <f>R33-Q33</f>
        <v>0</v>
      </c>
      <c r="T33" s="176" t="str">
        <f t="shared" si="17"/>
        <v>-</v>
      </c>
      <c r="U33" s="204"/>
      <c r="V33" s="181">
        <f t="shared" si="18"/>
        <v>0</v>
      </c>
      <c r="W33" s="76">
        <f t="shared" si="18"/>
        <v>0</v>
      </c>
      <c r="X33" s="76">
        <f t="shared" si="19"/>
        <v>0</v>
      </c>
      <c r="Y33" s="312" t="str">
        <f t="shared" si="20"/>
        <v>-</v>
      </c>
      <c r="Z33" s="204"/>
      <c r="AA33" s="181">
        <v>0</v>
      </c>
      <c r="AB33" s="76">
        <f t="shared" si="21"/>
        <v>0</v>
      </c>
      <c r="AC33" s="312" t="str">
        <f t="shared" si="22"/>
        <v>-</v>
      </c>
      <c r="AD33" s="162"/>
      <c r="AE33" s="77"/>
    </row>
    <row r="34" spans="1:31" ht="15.75" x14ac:dyDescent="0.25">
      <c r="A34" s="322" t="s">
        <v>39</v>
      </c>
      <c r="B34" s="250">
        <f>226000+(39352.76*3)</f>
        <v>344058.28</v>
      </c>
      <c r="C34" s="329">
        <v>113788.02</v>
      </c>
      <c r="D34" s="345">
        <f t="shared" si="23"/>
        <v>230270.26</v>
      </c>
      <c r="E34" s="342">
        <f t="shared" si="14"/>
        <v>0.66927690273868712</v>
      </c>
      <c r="F34" s="354"/>
      <c r="G34" s="355">
        <f>79000+(39352.76*3)</f>
        <v>197058.28</v>
      </c>
      <c r="H34" s="340">
        <f>35343+98665+35606.88+35463.15</f>
        <v>205078.03</v>
      </c>
      <c r="I34" s="340">
        <f t="shared" si="24"/>
        <v>-8019.75</v>
      </c>
      <c r="J34" s="344">
        <f t="shared" si="15"/>
        <v>-4.069735105776829E-2</v>
      </c>
      <c r="K34" s="204"/>
      <c r="L34" s="181">
        <v>0</v>
      </c>
      <c r="M34" s="76">
        <v>0</v>
      </c>
      <c r="N34" s="343">
        <f>L34-M34</f>
        <v>0</v>
      </c>
      <c r="O34" s="342" t="str">
        <f t="shared" si="16"/>
        <v>-</v>
      </c>
      <c r="P34" s="204"/>
      <c r="Q34" s="213"/>
      <c r="R34" s="341">
        <v>0</v>
      </c>
      <c r="S34" s="340">
        <f>Q34-R34</f>
        <v>0</v>
      </c>
      <c r="T34" s="339" t="str">
        <f t="shared" si="17"/>
        <v>-</v>
      </c>
      <c r="U34" s="352"/>
      <c r="V34" s="250">
        <f t="shared" si="18"/>
        <v>541116.56000000006</v>
      </c>
      <c r="W34" s="76">
        <f t="shared" si="18"/>
        <v>318866.05</v>
      </c>
      <c r="X34" s="76">
        <f t="shared" si="19"/>
        <v>222250.51000000007</v>
      </c>
      <c r="Y34" s="312">
        <f t="shared" si="20"/>
        <v>0.410725759344715</v>
      </c>
      <c r="Z34" s="204"/>
      <c r="AA34" s="351">
        <v>873233.12000000011</v>
      </c>
      <c r="AB34" s="350">
        <f t="shared" si="21"/>
        <v>554367.07000000007</v>
      </c>
      <c r="AC34" s="342">
        <f t="shared" si="22"/>
        <v>0.63484430137052061</v>
      </c>
      <c r="AD34" s="165"/>
      <c r="AE34" s="77"/>
    </row>
    <row r="35" spans="1:31" ht="15.75" x14ac:dyDescent="0.25">
      <c r="A35" s="145" t="s">
        <v>40</v>
      </c>
      <c r="B35" s="181">
        <f>64846.88*3</f>
        <v>194540.63999999998</v>
      </c>
      <c r="C35" s="329">
        <v>184038</v>
      </c>
      <c r="D35" s="345">
        <f t="shared" si="23"/>
        <v>10502.639999999985</v>
      </c>
      <c r="E35" s="342">
        <f t="shared" si="14"/>
        <v>5.3986868759144546E-2</v>
      </c>
      <c r="F35" s="205"/>
      <c r="G35" s="181">
        <f>64846.88*3</f>
        <v>194540.63999999998</v>
      </c>
      <c r="H35" s="341">
        <f>60336+61346.15+62045.4</f>
        <v>183727.55</v>
      </c>
      <c r="I35" s="340">
        <f t="shared" si="24"/>
        <v>10813.089999999997</v>
      </c>
      <c r="J35" s="344">
        <f t="shared" si="15"/>
        <v>5.5582679279763847E-2</v>
      </c>
      <c r="K35" s="205"/>
      <c r="L35" s="181">
        <v>0</v>
      </c>
      <c r="M35" s="76">
        <v>0</v>
      </c>
      <c r="N35" s="343">
        <f>L35-M35</f>
        <v>0</v>
      </c>
      <c r="O35" s="342" t="str">
        <f t="shared" si="16"/>
        <v>-</v>
      </c>
      <c r="P35" s="205"/>
      <c r="Q35" s="213"/>
      <c r="R35" s="341">
        <v>0</v>
      </c>
      <c r="S35" s="340">
        <f>Q35-R35</f>
        <v>0</v>
      </c>
      <c r="T35" s="353" t="str">
        <f t="shared" si="17"/>
        <v>-</v>
      </c>
      <c r="U35" s="204"/>
      <c r="V35" s="181">
        <f t="shared" si="18"/>
        <v>389081.27999999997</v>
      </c>
      <c r="W35" s="76">
        <f t="shared" si="18"/>
        <v>367765.55</v>
      </c>
      <c r="X35" s="76">
        <f t="shared" si="19"/>
        <v>21315.729999999981</v>
      </c>
      <c r="Y35" s="312">
        <f t="shared" si="20"/>
        <v>5.4784774019454197E-2</v>
      </c>
      <c r="Z35" s="205"/>
      <c r="AA35" s="351">
        <v>778162.55999999994</v>
      </c>
      <c r="AB35" s="350">
        <f t="shared" si="21"/>
        <v>410397.00999999995</v>
      </c>
      <c r="AC35" s="342">
        <f t="shared" si="22"/>
        <v>0.52739238700972713</v>
      </c>
      <c r="AD35" s="163"/>
      <c r="AE35" s="78"/>
    </row>
    <row r="36" spans="1:31" ht="15.75" x14ac:dyDescent="0.25">
      <c r="A36" s="322" t="s">
        <v>41</v>
      </c>
      <c r="B36" s="250">
        <f>71206.47*3</f>
        <v>213619.41</v>
      </c>
      <c r="C36" s="329">
        <v>210000</v>
      </c>
      <c r="D36" s="345">
        <f t="shared" si="23"/>
        <v>3619.4100000000035</v>
      </c>
      <c r="E36" s="342">
        <f t="shared" si="14"/>
        <v>1.6943263723085855E-2</v>
      </c>
      <c r="F36" s="354"/>
      <c r="G36" s="351">
        <f>71206.47*3</f>
        <v>213619.41</v>
      </c>
      <c r="H36" s="340">
        <v>198000</v>
      </c>
      <c r="I36" s="340">
        <f t="shared" si="24"/>
        <v>15619.410000000003</v>
      </c>
      <c r="J36" s="344">
        <f t="shared" si="15"/>
        <v>7.3117934367480944E-2</v>
      </c>
      <c r="K36" s="204"/>
      <c r="L36" s="181">
        <v>0</v>
      </c>
      <c r="M36" s="76">
        <v>0</v>
      </c>
      <c r="N36" s="343">
        <f>L36-M36</f>
        <v>0</v>
      </c>
      <c r="O36" s="342" t="str">
        <f t="shared" si="16"/>
        <v>-</v>
      </c>
      <c r="P36" s="204"/>
      <c r="Q36" s="213"/>
      <c r="R36" s="341">
        <v>0</v>
      </c>
      <c r="S36" s="340">
        <f>Q36-R36</f>
        <v>0</v>
      </c>
      <c r="T36" s="353" t="str">
        <f t="shared" si="17"/>
        <v>-</v>
      </c>
      <c r="U36" s="352"/>
      <c r="V36" s="250">
        <f t="shared" si="18"/>
        <v>427238.82</v>
      </c>
      <c r="W36" s="76">
        <f t="shared" si="18"/>
        <v>408000</v>
      </c>
      <c r="X36" s="76">
        <f t="shared" si="19"/>
        <v>19238.820000000007</v>
      </c>
      <c r="Y36" s="312">
        <f t="shared" si="20"/>
        <v>4.50305990452834E-2</v>
      </c>
      <c r="Z36" s="204"/>
      <c r="AA36" s="351">
        <v>854477.64</v>
      </c>
      <c r="AB36" s="350">
        <f t="shared" si="21"/>
        <v>446477.64</v>
      </c>
      <c r="AC36" s="349">
        <f t="shared" si="22"/>
        <v>0.52251529952264175</v>
      </c>
      <c r="AD36" s="348"/>
      <c r="AE36" s="347"/>
    </row>
    <row r="37" spans="1:31" ht="15.75" x14ac:dyDescent="0.25">
      <c r="A37" s="346" t="s">
        <v>155</v>
      </c>
      <c r="B37" s="250">
        <f>111019.98*3</f>
        <v>333059.94</v>
      </c>
      <c r="C37" s="329">
        <v>306710</v>
      </c>
      <c r="D37" s="345">
        <f t="shared" si="23"/>
        <v>26349.940000000002</v>
      </c>
      <c r="E37" s="342">
        <f t="shared" si="14"/>
        <v>7.91147083014547E-2</v>
      </c>
      <c r="F37" s="207"/>
      <c r="G37" s="181">
        <f>111019.98*3</f>
        <v>333059.94</v>
      </c>
      <c r="H37" s="341">
        <f>104111+100127.4+101046</f>
        <v>305284.40000000002</v>
      </c>
      <c r="I37" s="340">
        <f t="shared" si="24"/>
        <v>27775.539999999979</v>
      </c>
      <c r="J37" s="344">
        <f t="shared" si="15"/>
        <v>8.3395018926623168E-2</v>
      </c>
      <c r="K37" s="207"/>
      <c r="L37" s="181">
        <v>0</v>
      </c>
      <c r="M37" s="76">
        <v>0</v>
      </c>
      <c r="N37" s="343">
        <f>L37-M37</f>
        <v>0</v>
      </c>
      <c r="O37" s="342" t="str">
        <f t="shared" si="16"/>
        <v>-</v>
      </c>
      <c r="P37" s="207"/>
      <c r="Q37" s="213"/>
      <c r="R37" s="341">
        <v>0</v>
      </c>
      <c r="S37" s="340">
        <f>Q37-R37</f>
        <v>0</v>
      </c>
      <c r="T37" s="339" t="str">
        <f t="shared" si="17"/>
        <v>-</v>
      </c>
      <c r="U37" s="207"/>
      <c r="V37" s="181">
        <f t="shared" si="18"/>
        <v>666119.88</v>
      </c>
      <c r="W37" s="76">
        <f t="shared" si="18"/>
        <v>611994.4</v>
      </c>
      <c r="X37" s="76">
        <f t="shared" si="19"/>
        <v>54125.479999999981</v>
      </c>
      <c r="Y37" s="312">
        <f t="shared" si="20"/>
        <v>8.1254863614038927E-2</v>
      </c>
      <c r="Z37" s="207"/>
      <c r="AA37" s="181">
        <v>1332239.76</v>
      </c>
      <c r="AB37" s="76">
        <f t="shared" si="21"/>
        <v>720245.36</v>
      </c>
      <c r="AC37" s="312">
        <f t="shared" si="22"/>
        <v>0.54062743180701944</v>
      </c>
      <c r="AD37" s="162"/>
      <c r="AE37" s="83"/>
    </row>
    <row r="38" spans="1:31" ht="15.75" x14ac:dyDescent="0.25">
      <c r="A38" s="322" t="s">
        <v>156</v>
      </c>
      <c r="B38" s="174">
        <v>0</v>
      </c>
      <c r="C38" s="75">
        <v>0</v>
      </c>
      <c r="D38" s="345">
        <f t="shared" si="23"/>
        <v>0</v>
      </c>
      <c r="E38" s="312" t="str">
        <f t="shared" si="14"/>
        <v>-</v>
      </c>
      <c r="F38" s="204"/>
      <c r="G38" s="174">
        <v>0</v>
      </c>
      <c r="H38" s="75">
        <v>0</v>
      </c>
      <c r="I38" s="340">
        <f t="shared" si="24"/>
        <v>0</v>
      </c>
      <c r="J38" s="312" t="str">
        <f t="shared" si="15"/>
        <v>-</v>
      </c>
      <c r="K38" s="204"/>
      <c r="L38" s="174">
        <v>0</v>
      </c>
      <c r="M38" s="75">
        <v>0</v>
      </c>
      <c r="N38" s="76">
        <f>M38-L38</f>
        <v>0</v>
      </c>
      <c r="O38" s="312" t="str">
        <f t="shared" si="16"/>
        <v>-</v>
      </c>
      <c r="P38" s="204"/>
      <c r="Q38" s="174">
        <f>L38</f>
        <v>0</v>
      </c>
      <c r="R38" s="75">
        <v>0</v>
      </c>
      <c r="S38" s="76">
        <f>R38-Q38</f>
        <v>0</v>
      </c>
      <c r="T38" s="176" t="str">
        <f t="shared" si="17"/>
        <v>-</v>
      </c>
      <c r="U38" s="204"/>
      <c r="V38" s="181">
        <f t="shared" si="18"/>
        <v>0</v>
      </c>
      <c r="W38" s="76">
        <f t="shared" si="18"/>
        <v>0</v>
      </c>
      <c r="X38" s="76">
        <f t="shared" ref="X38:X39" si="25">V38-W38</f>
        <v>0</v>
      </c>
      <c r="Y38" s="312" t="str">
        <f t="shared" si="20"/>
        <v>-</v>
      </c>
      <c r="Z38" s="204"/>
      <c r="AA38" s="181">
        <v>0</v>
      </c>
      <c r="AB38" s="76">
        <f t="shared" si="21"/>
        <v>0</v>
      </c>
      <c r="AC38" s="312" t="str">
        <f t="shared" si="22"/>
        <v>-</v>
      </c>
      <c r="AD38" s="162"/>
      <c r="AE38" s="77"/>
    </row>
    <row r="39" spans="1:31" ht="15.75" x14ac:dyDescent="0.25">
      <c r="A39" s="152" t="s">
        <v>182</v>
      </c>
      <c r="B39" s="174">
        <v>0</v>
      </c>
      <c r="C39" s="329">
        <v>0</v>
      </c>
      <c r="D39" s="250">
        <f>B39-C39</f>
        <v>0</v>
      </c>
      <c r="E39" s="312" t="str">
        <f t="shared" si="14"/>
        <v>-</v>
      </c>
      <c r="F39" s="207"/>
      <c r="G39" s="181">
        <v>0</v>
      </c>
      <c r="H39" s="130">
        <v>0</v>
      </c>
      <c r="I39" s="130">
        <f>G39-H39</f>
        <v>0</v>
      </c>
      <c r="J39" s="313" t="str">
        <f t="shared" si="15"/>
        <v>-</v>
      </c>
      <c r="K39" s="207"/>
      <c r="L39" s="181">
        <v>0</v>
      </c>
      <c r="M39" s="76">
        <v>0</v>
      </c>
      <c r="N39" s="76">
        <f>L39-M39</f>
        <v>0</v>
      </c>
      <c r="O39" s="312" t="str">
        <f t="shared" si="16"/>
        <v>-</v>
      </c>
      <c r="P39" s="207"/>
      <c r="Q39" s="213"/>
      <c r="R39" s="130">
        <v>0</v>
      </c>
      <c r="S39" s="130">
        <f>Q39-R39</f>
        <v>0</v>
      </c>
      <c r="T39" s="214" t="str">
        <f t="shared" si="17"/>
        <v>-</v>
      </c>
      <c r="U39" s="207"/>
      <c r="V39" s="181">
        <f t="shared" si="18"/>
        <v>0</v>
      </c>
      <c r="W39" s="76">
        <f t="shared" si="18"/>
        <v>0</v>
      </c>
      <c r="X39" s="76">
        <f t="shared" si="25"/>
        <v>0</v>
      </c>
      <c r="Y39" s="312" t="str">
        <f t="shared" si="20"/>
        <v>-</v>
      </c>
      <c r="Z39" s="207"/>
      <c r="AA39" s="181">
        <v>0</v>
      </c>
      <c r="AB39" s="76">
        <f t="shared" si="21"/>
        <v>0</v>
      </c>
      <c r="AC39" s="312" t="str">
        <f t="shared" si="22"/>
        <v>-</v>
      </c>
      <c r="AD39" s="162"/>
      <c r="AE39" s="84"/>
    </row>
    <row r="40" spans="1:31" ht="15.75" x14ac:dyDescent="0.25">
      <c r="A40" s="146" t="s">
        <v>45</v>
      </c>
      <c r="B40" s="177">
        <f>SUM(B32:B39)</f>
        <v>6010941.3700000001</v>
      </c>
      <c r="C40" s="338">
        <f>SUM(C32:C39)</f>
        <v>5542593.0199999996</v>
      </c>
      <c r="D40" s="337">
        <f>SUM(D32:D39)</f>
        <v>468348.34999999969</v>
      </c>
      <c r="E40" s="316">
        <f t="shared" si="14"/>
        <v>7.7915973750381076E-2</v>
      </c>
      <c r="F40" s="205"/>
      <c r="G40" s="177">
        <f>SUM(G32:G39)</f>
        <v>5863941.3700000001</v>
      </c>
      <c r="H40" s="110">
        <f>SUM(H32:H39)</f>
        <v>5416405.5899999999</v>
      </c>
      <c r="I40" s="110">
        <f>SUM(I32:I39)</f>
        <v>447535.7800000002</v>
      </c>
      <c r="J40" s="316">
        <f t="shared" si="15"/>
        <v>7.6319961568783595E-2</v>
      </c>
      <c r="K40" s="205"/>
      <c r="L40" s="177">
        <f>SUM(L32:L39)</f>
        <v>0</v>
      </c>
      <c r="M40" s="110">
        <f>SUM(M32:M39)</f>
        <v>0</v>
      </c>
      <c r="N40" s="110">
        <f>SUM(N32:N39)</f>
        <v>0</v>
      </c>
      <c r="O40" s="316" t="str">
        <f t="shared" si="16"/>
        <v>-</v>
      </c>
      <c r="P40" s="205"/>
      <c r="Q40" s="177">
        <f>SUM(Q32:Q39)</f>
        <v>0</v>
      </c>
      <c r="R40" s="110">
        <f>SUM(R32:R39)</f>
        <v>0</v>
      </c>
      <c r="S40" s="110">
        <f>SUM(S32:S39)</f>
        <v>0</v>
      </c>
      <c r="T40" s="178" t="str">
        <f t="shared" si="17"/>
        <v>-</v>
      </c>
      <c r="U40" s="205"/>
      <c r="V40" s="177">
        <f>SUM(V32:V39)</f>
        <v>11874882.74</v>
      </c>
      <c r="W40" s="177">
        <f>SUM(W32:W39)</f>
        <v>10958998.610000001</v>
      </c>
      <c r="X40" s="177">
        <f>SUM(X32:X39)</f>
        <v>915884.12999999989</v>
      </c>
      <c r="Y40" s="316">
        <f t="shared" si="20"/>
        <v>7.7127846232526234E-2</v>
      </c>
      <c r="Z40" s="205"/>
      <c r="AA40" s="242">
        <f>SUM(AA32:AA39)</f>
        <v>23540765.48</v>
      </c>
      <c r="AB40" s="109">
        <f>SUM(AB32:AB39)</f>
        <v>12581766.869999999</v>
      </c>
      <c r="AC40" s="317">
        <f t="shared" si="22"/>
        <v>0.5344671939699388</v>
      </c>
      <c r="AD40" s="163"/>
      <c r="AE40" s="86"/>
    </row>
    <row r="41" spans="1:31" x14ac:dyDescent="0.25">
      <c r="A41" s="150"/>
      <c r="B41" s="179"/>
      <c r="C41" s="336"/>
      <c r="D41" s="335"/>
      <c r="E41" s="314"/>
      <c r="F41" s="204"/>
      <c r="G41" s="211"/>
      <c r="H41" s="129"/>
      <c r="I41" s="129"/>
      <c r="J41" s="315"/>
      <c r="K41" s="204"/>
      <c r="L41" s="179"/>
      <c r="M41" s="81"/>
      <c r="N41" s="81"/>
      <c r="O41" s="314"/>
      <c r="P41" s="204"/>
      <c r="Q41" s="211"/>
      <c r="R41" s="129"/>
      <c r="S41" s="129"/>
      <c r="T41" s="223"/>
      <c r="U41" s="204"/>
      <c r="V41" s="179"/>
      <c r="W41" s="81"/>
      <c r="X41" s="81"/>
      <c r="Y41" s="314"/>
      <c r="Z41" s="204"/>
      <c r="AA41" s="179"/>
      <c r="AB41" s="81"/>
      <c r="AC41" s="314"/>
      <c r="AD41" s="162"/>
      <c r="AE41" s="77"/>
    </row>
    <row r="42" spans="1:31" ht="15.75" x14ac:dyDescent="0.25">
      <c r="A42" s="148" t="s">
        <v>46</v>
      </c>
      <c r="B42" s="189"/>
      <c r="C42" s="334"/>
      <c r="D42" s="333"/>
      <c r="E42" s="331"/>
      <c r="F42" s="203"/>
      <c r="G42" s="224"/>
      <c r="H42" s="134"/>
      <c r="I42" s="134"/>
      <c r="J42" s="332"/>
      <c r="K42" s="203"/>
      <c r="L42" s="189"/>
      <c r="M42" s="87"/>
      <c r="N42" s="87"/>
      <c r="O42" s="331"/>
      <c r="P42" s="203"/>
      <c r="Q42" s="224"/>
      <c r="R42" s="134"/>
      <c r="S42" s="134"/>
      <c r="T42" s="225"/>
      <c r="U42" s="203"/>
      <c r="V42" s="189"/>
      <c r="W42" s="87"/>
      <c r="X42" s="76"/>
      <c r="Y42" s="330"/>
      <c r="Z42" s="203"/>
      <c r="AA42" s="189"/>
      <c r="AB42" s="76"/>
      <c r="AC42" s="330"/>
      <c r="AD42" s="161"/>
      <c r="AE42" s="77"/>
    </row>
    <row r="43" spans="1:31" ht="15.75" x14ac:dyDescent="0.25">
      <c r="A43" s="145" t="s">
        <v>47</v>
      </c>
      <c r="B43" s="174">
        <v>2375.0100000000002</v>
      </c>
      <c r="C43" s="329">
        <v>11447.12</v>
      </c>
      <c r="D43" s="250">
        <f>B43-C43</f>
        <v>-9072.11</v>
      </c>
      <c r="E43" s="312">
        <f t="shared" ref="E43:E74" si="26">IF(ISERROR(D43/B43),"-",D43/B43)</f>
        <v>-3.8198197060222903</v>
      </c>
      <c r="F43" s="205"/>
      <c r="G43" s="181">
        <f>791.67*3</f>
        <v>2375.0099999999998</v>
      </c>
      <c r="H43" s="130">
        <f>600+350+763.23</f>
        <v>1713.23</v>
      </c>
      <c r="I43" s="130">
        <f>G43-H43</f>
        <v>661.77999999999975</v>
      </c>
      <c r="J43" s="313">
        <f t="shared" ref="J43:J76" si="27">IF(ISERROR(I43/G43),"-",I43/G43)</f>
        <v>0.27864303729247447</v>
      </c>
      <c r="K43" s="205"/>
      <c r="L43" s="181">
        <v>0</v>
      </c>
      <c r="M43" s="76">
        <v>0</v>
      </c>
      <c r="N43" s="76">
        <f>L43-M44</f>
        <v>0</v>
      </c>
      <c r="O43" s="312" t="str">
        <f t="shared" ref="O43:O62" si="28">IF(ISERROR(N43/L43),"-",N43/L43)</f>
        <v>-</v>
      </c>
      <c r="P43" s="205"/>
      <c r="Q43" s="213"/>
      <c r="R43" s="130">
        <v>0</v>
      </c>
      <c r="S43" s="130">
        <f>Q43-R43</f>
        <v>0</v>
      </c>
      <c r="T43" s="220" t="str">
        <f t="shared" ref="T43:T62" si="29">IF(ISERROR(S43/Q43),"-",S43/Q43)</f>
        <v>-</v>
      </c>
      <c r="U43" s="205"/>
      <c r="V43" s="181">
        <f t="shared" ref="V43:V71" si="30">B43+G43+L43+Q43</f>
        <v>4750.0200000000004</v>
      </c>
      <c r="W43" s="76">
        <f>C43+H43+M43+R43</f>
        <v>13160.35</v>
      </c>
      <c r="X43" s="76">
        <f>V43-W43</f>
        <v>-8410.33</v>
      </c>
      <c r="Y43" s="312">
        <f t="shared" ref="Y43:Y76" si="31">IF(ISERROR(X43/V43),"-",X43/V43)</f>
        <v>-1.7705883343649078</v>
      </c>
      <c r="Z43" s="205"/>
      <c r="AA43" s="181">
        <v>9500.0400000000009</v>
      </c>
      <c r="AB43" s="76">
        <f t="shared" ref="AB43:AB51" si="32">AA43-W43</f>
        <v>-3660.3099999999995</v>
      </c>
      <c r="AC43" s="312">
        <f t="shared" ref="AC43:AC76" si="33">IF(ISERROR(AB43/AA43),"-",AB43/AA43)</f>
        <v>-0.38529416718245391</v>
      </c>
      <c r="AD43" s="163"/>
      <c r="AE43" s="88"/>
    </row>
    <row r="44" spans="1:31" ht="15.75" x14ac:dyDescent="0.25">
      <c r="A44" s="145" t="s">
        <v>48</v>
      </c>
      <c r="B44" s="174">
        <v>0</v>
      </c>
      <c r="C44" s="75">
        <v>0</v>
      </c>
      <c r="D44" s="250">
        <f t="shared" ref="D44:D56" si="34">B44-C44</f>
        <v>0</v>
      </c>
      <c r="E44" s="312" t="str">
        <f t="shared" si="26"/>
        <v>-</v>
      </c>
      <c r="F44" s="204"/>
      <c r="G44" s="174">
        <v>0</v>
      </c>
      <c r="H44" s="75">
        <v>0</v>
      </c>
      <c r="I44" s="130">
        <f t="shared" ref="I44:I54" si="35">G44-H44</f>
        <v>0</v>
      </c>
      <c r="J44" s="312" t="str">
        <f t="shared" si="27"/>
        <v>-</v>
      </c>
      <c r="K44" s="204"/>
      <c r="L44" s="174">
        <v>0</v>
      </c>
      <c r="M44" s="75">
        <v>0</v>
      </c>
      <c r="N44" s="76">
        <f>M44-L44</f>
        <v>0</v>
      </c>
      <c r="O44" s="312" t="str">
        <f t="shared" si="28"/>
        <v>-</v>
      </c>
      <c r="P44" s="204"/>
      <c r="Q44" s="174">
        <f>L44</f>
        <v>0</v>
      </c>
      <c r="R44" s="75">
        <v>0</v>
      </c>
      <c r="S44" s="76">
        <f>R44-Q44</f>
        <v>0</v>
      </c>
      <c r="T44" s="176" t="str">
        <f t="shared" si="29"/>
        <v>-</v>
      </c>
      <c r="U44" s="204"/>
      <c r="V44" s="181">
        <f t="shared" si="30"/>
        <v>0</v>
      </c>
      <c r="W44" s="76">
        <f t="shared" ref="W44:W71" si="36">C44+H44+M44+R44</f>
        <v>0</v>
      </c>
      <c r="X44" s="76">
        <f t="shared" ref="X44:X74" si="37">V44-W44</f>
        <v>0</v>
      </c>
      <c r="Y44" s="312" t="str">
        <f t="shared" si="31"/>
        <v>-</v>
      </c>
      <c r="Z44" s="204"/>
      <c r="AA44" s="181">
        <v>0</v>
      </c>
      <c r="AB44" s="76">
        <f t="shared" si="32"/>
        <v>0</v>
      </c>
      <c r="AC44" s="312" t="str">
        <f t="shared" si="33"/>
        <v>-</v>
      </c>
      <c r="AD44" s="162"/>
      <c r="AE44" s="77"/>
    </row>
    <row r="45" spans="1:31" ht="15.75" x14ac:dyDescent="0.25">
      <c r="A45" s="145" t="s">
        <v>49</v>
      </c>
      <c r="B45" s="181">
        <v>0</v>
      </c>
      <c r="C45" s="76">
        <v>0</v>
      </c>
      <c r="D45" s="250">
        <f t="shared" si="34"/>
        <v>0</v>
      </c>
      <c r="E45" s="312" t="str">
        <f t="shared" si="26"/>
        <v>-</v>
      </c>
      <c r="F45" s="207"/>
      <c r="G45" s="213">
        <v>0</v>
      </c>
      <c r="H45" s="130">
        <v>0</v>
      </c>
      <c r="I45" s="130">
        <f t="shared" si="35"/>
        <v>0</v>
      </c>
      <c r="J45" s="313" t="str">
        <f t="shared" si="27"/>
        <v>-</v>
      </c>
      <c r="K45" s="207"/>
      <c r="L45" s="181">
        <v>0</v>
      </c>
      <c r="M45" s="76">
        <v>0</v>
      </c>
      <c r="N45" s="76">
        <f>L45-M46</f>
        <v>0</v>
      </c>
      <c r="O45" s="312" t="str">
        <f t="shared" si="28"/>
        <v>-</v>
      </c>
      <c r="P45" s="207"/>
      <c r="Q45" s="213"/>
      <c r="R45" s="130">
        <v>0</v>
      </c>
      <c r="S45" s="130">
        <f t="shared" ref="S45:S74" si="38">Q45-R45</f>
        <v>0</v>
      </c>
      <c r="T45" s="214" t="str">
        <f t="shared" si="29"/>
        <v>-</v>
      </c>
      <c r="U45" s="207"/>
      <c r="V45" s="181">
        <f t="shared" si="30"/>
        <v>0</v>
      </c>
      <c r="W45" s="76">
        <f t="shared" si="36"/>
        <v>0</v>
      </c>
      <c r="X45" s="76">
        <f t="shared" si="37"/>
        <v>0</v>
      </c>
      <c r="Y45" s="312" t="str">
        <f t="shared" si="31"/>
        <v>-</v>
      </c>
      <c r="Z45" s="207"/>
      <c r="AA45" s="181">
        <v>0</v>
      </c>
      <c r="AB45" s="76">
        <f t="shared" si="32"/>
        <v>0</v>
      </c>
      <c r="AC45" s="312" t="str">
        <f t="shared" si="33"/>
        <v>-</v>
      </c>
      <c r="AD45" s="165"/>
      <c r="AE45" s="77"/>
    </row>
    <row r="46" spans="1:31" s="276" customFormat="1" ht="15.75" x14ac:dyDescent="0.25">
      <c r="A46" s="270" t="s">
        <v>50</v>
      </c>
      <c r="B46" s="281">
        <v>0</v>
      </c>
      <c r="C46" s="280">
        <v>0</v>
      </c>
      <c r="D46" s="250">
        <f t="shared" si="34"/>
        <v>0</v>
      </c>
      <c r="E46" s="324" t="str">
        <f t="shared" si="26"/>
        <v>-</v>
      </c>
      <c r="F46" s="282"/>
      <c r="G46" s="281">
        <v>0</v>
      </c>
      <c r="H46" s="280">
        <v>0</v>
      </c>
      <c r="I46" s="130">
        <f t="shared" si="35"/>
        <v>0</v>
      </c>
      <c r="J46" s="324" t="str">
        <f t="shared" si="27"/>
        <v>-</v>
      </c>
      <c r="K46" s="282"/>
      <c r="L46" s="181">
        <v>0</v>
      </c>
      <c r="M46" s="76">
        <v>0</v>
      </c>
      <c r="N46" s="280">
        <f t="shared" ref="N46:N74" si="39">L46-M46</f>
        <v>0</v>
      </c>
      <c r="O46" s="324" t="str">
        <f t="shared" si="28"/>
        <v>-</v>
      </c>
      <c r="P46" s="282"/>
      <c r="Q46" s="213"/>
      <c r="R46" s="280">
        <v>0</v>
      </c>
      <c r="S46" s="280">
        <f t="shared" si="38"/>
        <v>0</v>
      </c>
      <c r="T46" s="279" t="str">
        <f t="shared" si="29"/>
        <v>-</v>
      </c>
      <c r="U46" s="282"/>
      <c r="V46" s="281">
        <f t="shared" si="30"/>
        <v>0</v>
      </c>
      <c r="W46" s="280">
        <f t="shared" si="36"/>
        <v>0</v>
      </c>
      <c r="X46" s="76">
        <f t="shared" si="37"/>
        <v>0</v>
      </c>
      <c r="Y46" s="324" t="str">
        <f t="shared" si="31"/>
        <v>-</v>
      </c>
      <c r="Z46" s="282"/>
      <c r="AA46" s="281">
        <v>0</v>
      </c>
      <c r="AB46" s="280">
        <f t="shared" si="32"/>
        <v>0</v>
      </c>
      <c r="AC46" s="324" t="str">
        <f t="shared" si="33"/>
        <v>-</v>
      </c>
      <c r="AD46" s="278"/>
      <c r="AE46" s="328"/>
    </row>
    <row r="47" spans="1:31" s="276" customFormat="1" ht="15.75" x14ac:dyDescent="0.25">
      <c r="A47" s="270" t="s">
        <v>51</v>
      </c>
      <c r="B47" s="281">
        <f>15795*3</f>
        <v>47385</v>
      </c>
      <c r="C47" s="280">
        <v>47385</v>
      </c>
      <c r="D47" s="250">
        <f t="shared" si="34"/>
        <v>0</v>
      </c>
      <c r="E47" s="324">
        <f t="shared" si="26"/>
        <v>0</v>
      </c>
      <c r="F47" s="282"/>
      <c r="G47" s="281">
        <f>15795*3</f>
        <v>47385</v>
      </c>
      <c r="H47" s="280">
        <v>47385</v>
      </c>
      <c r="I47" s="130">
        <f t="shared" si="35"/>
        <v>0</v>
      </c>
      <c r="J47" s="324">
        <f t="shared" si="27"/>
        <v>0</v>
      </c>
      <c r="K47" s="282"/>
      <c r="L47" s="181">
        <v>0</v>
      </c>
      <c r="M47" s="76">
        <v>0</v>
      </c>
      <c r="N47" s="280">
        <f t="shared" si="39"/>
        <v>0</v>
      </c>
      <c r="O47" s="324" t="str">
        <f t="shared" si="28"/>
        <v>-</v>
      </c>
      <c r="P47" s="282"/>
      <c r="Q47" s="213"/>
      <c r="R47" s="280">
        <v>0</v>
      </c>
      <c r="S47" s="280">
        <f t="shared" si="38"/>
        <v>0</v>
      </c>
      <c r="T47" s="325" t="str">
        <f t="shared" si="29"/>
        <v>-</v>
      </c>
      <c r="U47" s="282"/>
      <c r="V47" s="281">
        <f t="shared" si="30"/>
        <v>94770</v>
      </c>
      <c r="W47" s="280">
        <f>C47+H47+M47+R47</f>
        <v>94770</v>
      </c>
      <c r="X47" s="76">
        <f t="shared" si="37"/>
        <v>0</v>
      </c>
      <c r="Y47" s="324">
        <f t="shared" si="31"/>
        <v>0</v>
      </c>
      <c r="Z47" s="282"/>
      <c r="AA47" s="281">
        <v>189540</v>
      </c>
      <c r="AB47" s="280">
        <f t="shared" si="32"/>
        <v>94770</v>
      </c>
      <c r="AC47" s="324">
        <f t="shared" si="33"/>
        <v>0.5</v>
      </c>
      <c r="AD47" s="278"/>
      <c r="AE47" s="323"/>
    </row>
    <row r="48" spans="1:31" s="276" customFormat="1" ht="15.75" x14ac:dyDescent="0.25">
      <c r="A48" s="270" t="s">
        <v>52</v>
      </c>
      <c r="B48" s="281">
        <v>69260.009999999995</v>
      </c>
      <c r="C48" s="280">
        <v>55673.73</v>
      </c>
      <c r="D48" s="250">
        <f t="shared" si="34"/>
        <v>13586.279999999992</v>
      </c>
      <c r="E48" s="324">
        <f t="shared" si="26"/>
        <v>0.19616341377946658</v>
      </c>
      <c r="F48" s="287"/>
      <c r="G48" s="281">
        <f>23086.67*3</f>
        <v>69260.009999999995</v>
      </c>
      <c r="H48" s="280">
        <f>10587.37+11024.37+32884.53</f>
        <v>54496.270000000004</v>
      </c>
      <c r="I48" s="130">
        <f t="shared" si="35"/>
        <v>14763.739999999991</v>
      </c>
      <c r="J48" s="324">
        <f t="shared" si="27"/>
        <v>0.21316398885879445</v>
      </c>
      <c r="K48" s="287"/>
      <c r="L48" s="181">
        <v>0</v>
      </c>
      <c r="M48" s="76">
        <v>0</v>
      </c>
      <c r="N48" s="280">
        <f t="shared" si="39"/>
        <v>0</v>
      </c>
      <c r="O48" s="324" t="str">
        <f t="shared" si="28"/>
        <v>-</v>
      </c>
      <c r="P48" s="287"/>
      <c r="Q48" s="213"/>
      <c r="R48" s="280">
        <v>0</v>
      </c>
      <c r="S48" s="280">
        <f t="shared" si="38"/>
        <v>0</v>
      </c>
      <c r="T48" s="279" t="str">
        <f t="shared" si="29"/>
        <v>-</v>
      </c>
      <c r="U48" s="287"/>
      <c r="V48" s="281">
        <f t="shared" si="30"/>
        <v>138520.01999999999</v>
      </c>
      <c r="W48" s="280">
        <f>C48+H48+M48+R48</f>
        <v>110170</v>
      </c>
      <c r="X48" s="76">
        <f>V48-W48</f>
        <v>28350.01999999999</v>
      </c>
      <c r="Y48" s="324">
        <f t="shared" si="31"/>
        <v>0.20466370131913056</v>
      </c>
      <c r="Z48" s="287"/>
      <c r="AA48" s="281">
        <v>277040.03999999998</v>
      </c>
      <c r="AB48" s="280">
        <f t="shared" si="32"/>
        <v>166870.03999999998</v>
      </c>
      <c r="AC48" s="324">
        <f t="shared" si="33"/>
        <v>0.60233185065956529</v>
      </c>
      <c r="AD48" s="286"/>
      <c r="AE48" s="327"/>
    </row>
    <row r="49" spans="1:31" s="276" customFormat="1" ht="15.75" x14ac:dyDescent="0.25">
      <c r="A49" s="270" t="s">
        <v>53</v>
      </c>
      <c r="B49" s="281">
        <v>0</v>
      </c>
      <c r="C49" s="280">
        <v>0</v>
      </c>
      <c r="D49" s="250">
        <f t="shared" si="34"/>
        <v>0</v>
      </c>
      <c r="E49" s="324" t="str">
        <f t="shared" si="26"/>
        <v>-</v>
      </c>
      <c r="F49" s="287"/>
      <c r="G49" s="281"/>
      <c r="H49" s="280"/>
      <c r="I49" s="130">
        <f t="shared" si="35"/>
        <v>0</v>
      </c>
      <c r="J49" s="324" t="str">
        <f t="shared" si="27"/>
        <v>-</v>
      </c>
      <c r="K49" s="287"/>
      <c r="L49" s="181">
        <v>0</v>
      </c>
      <c r="M49" s="76">
        <v>0</v>
      </c>
      <c r="N49" s="280">
        <f t="shared" si="39"/>
        <v>0</v>
      </c>
      <c r="O49" s="324" t="str">
        <f t="shared" si="28"/>
        <v>-</v>
      </c>
      <c r="P49" s="287"/>
      <c r="Q49" s="213"/>
      <c r="R49" s="280">
        <v>0</v>
      </c>
      <c r="S49" s="280">
        <f t="shared" si="38"/>
        <v>0</v>
      </c>
      <c r="T49" s="279" t="str">
        <f t="shared" si="29"/>
        <v>-</v>
      </c>
      <c r="U49" s="287"/>
      <c r="V49" s="281">
        <f t="shared" si="30"/>
        <v>0</v>
      </c>
      <c r="W49" s="280">
        <f t="shared" si="36"/>
        <v>0</v>
      </c>
      <c r="X49" s="76">
        <f t="shared" si="37"/>
        <v>0</v>
      </c>
      <c r="Y49" s="324" t="str">
        <f t="shared" si="31"/>
        <v>-</v>
      </c>
      <c r="Z49" s="287"/>
      <c r="AA49" s="281">
        <v>0</v>
      </c>
      <c r="AB49" s="280">
        <f t="shared" si="32"/>
        <v>0</v>
      </c>
      <c r="AC49" s="324" t="str">
        <f t="shared" si="33"/>
        <v>-</v>
      </c>
      <c r="AD49" s="286"/>
      <c r="AE49" s="326"/>
    </row>
    <row r="50" spans="1:31" s="276" customFormat="1" ht="15.75" x14ac:dyDescent="0.25">
      <c r="A50" s="270" t="s">
        <v>54</v>
      </c>
      <c r="B50" s="281">
        <v>0</v>
      </c>
      <c r="C50" s="280">
        <v>0</v>
      </c>
      <c r="D50" s="250">
        <f t="shared" si="34"/>
        <v>0</v>
      </c>
      <c r="E50" s="324" t="str">
        <f t="shared" si="26"/>
        <v>-</v>
      </c>
      <c r="F50" s="282"/>
      <c r="G50" s="281">
        <v>0</v>
      </c>
      <c r="H50" s="280">
        <v>0</v>
      </c>
      <c r="I50" s="130">
        <f t="shared" si="35"/>
        <v>0</v>
      </c>
      <c r="J50" s="324" t="str">
        <f t="shared" si="27"/>
        <v>-</v>
      </c>
      <c r="K50" s="282"/>
      <c r="L50" s="181">
        <v>0</v>
      </c>
      <c r="M50" s="76">
        <v>0</v>
      </c>
      <c r="N50" s="280">
        <f t="shared" si="39"/>
        <v>0</v>
      </c>
      <c r="O50" s="324" t="str">
        <f t="shared" si="28"/>
        <v>-</v>
      </c>
      <c r="P50" s="282"/>
      <c r="Q50" s="213"/>
      <c r="R50" s="280">
        <v>0</v>
      </c>
      <c r="S50" s="280">
        <f t="shared" si="38"/>
        <v>0</v>
      </c>
      <c r="T50" s="279" t="str">
        <f t="shared" si="29"/>
        <v>-</v>
      </c>
      <c r="U50" s="282"/>
      <c r="V50" s="281">
        <f t="shared" si="30"/>
        <v>0</v>
      </c>
      <c r="W50" s="280">
        <f t="shared" si="36"/>
        <v>0</v>
      </c>
      <c r="X50" s="76">
        <f t="shared" si="37"/>
        <v>0</v>
      </c>
      <c r="Y50" s="324" t="str">
        <f t="shared" si="31"/>
        <v>-</v>
      </c>
      <c r="Z50" s="282"/>
      <c r="AA50" s="281">
        <v>0</v>
      </c>
      <c r="AB50" s="280">
        <f t="shared" si="32"/>
        <v>0</v>
      </c>
      <c r="AC50" s="324" t="str">
        <f t="shared" si="33"/>
        <v>-</v>
      </c>
      <c r="AD50" s="278"/>
      <c r="AE50" s="323"/>
    </row>
    <row r="51" spans="1:31" s="276" customFormat="1" ht="15.75" x14ac:dyDescent="0.25">
      <c r="A51" s="270" t="s">
        <v>55</v>
      </c>
      <c r="B51" s="281">
        <v>0</v>
      </c>
      <c r="C51" s="280">
        <v>0</v>
      </c>
      <c r="D51" s="250">
        <f t="shared" si="34"/>
        <v>0</v>
      </c>
      <c r="E51" s="324" t="str">
        <f t="shared" si="26"/>
        <v>-</v>
      </c>
      <c r="F51" s="282"/>
      <c r="G51" s="281">
        <v>0</v>
      </c>
      <c r="H51" s="280">
        <v>0</v>
      </c>
      <c r="I51" s="130">
        <f t="shared" si="35"/>
        <v>0</v>
      </c>
      <c r="J51" s="324" t="str">
        <f t="shared" si="27"/>
        <v>-</v>
      </c>
      <c r="K51" s="282"/>
      <c r="L51" s="181">
        <v>0</v>
      </c>
      <c r="M51" s="76">
        <v>0</v>
      </c>
      <c r="N51" s="280">
        <f t="shared" si="39"/>
        <v>0</v>
      </c>
      <c r="O51" s="324" t="str">
        <f t="shared" si="28"/>
        <v>-</v>
      </c>
      <c r="P51" s="282"/>
      <c r="Q51" s="213"/>
      <c r="R51" s="280">
        <v>0</v>
      </c>
      <c r="S51" s="280">
        <f t="shared" si="38"/>
        <v>0</v>
      </c>
      <c r="T51" s="279" t="str">
        <f t="shared" si="29"/>
        <v>-</v>
      </c>
      <c r="U51" s="282"/>
      <c r="V51" s="281">
        <f t="shared" si="30"/>
        <v>0</v>
      </c>
      <c r="W51" s="280">
        <f t="shared" si="36"/>
        <v>0</v>
      </c>
      <c r="X51" s="76">
        <f t="shared" si="37"/>
        <v>0</v>
      </c>
      <c r="Y51" s="324" t="str">
        <f t="shared" si="31"/>
        <v>-</v>
      </c>
      <c r="Z51" s="282"/>
      <c r="AA51" s="281">
        <v>0</v>
      </c>
      <c r="AB51" s="280">
        <f t="shared" si="32"/>
        <v>0</v>
      </c>
      <c r="AC51" s="324" t="str">
        <f t="shared" si="33"/>
        <v>-</v>
      </c>
      <c r="AD51" s="278"/>
      <c r="AE51" s="277"/>
    </row>
    <row r="52" spans="1:31" s="276" customFormat="1" ht="15.75" x14ac:dyDescent="0.25">
      <c r="A52" s="270" t="s">
        <v>56</v>
      </c>
      <c r="B52" s="281">
        <v>0</v>
      </c>
      <c r="C52" s="280">
        <v>0</v>
      </c>
      <c r="D52" s="250">
        <f t="shared" si="34"/>
        <v>0</v>
      </c>
      <c r="E52" s="324" t="str">
        <f t="shared" si="26"/>
        <v>-</v>
      </c>
      <c r="F52" s="282"/>
      <c r="G52" s="281">
        <v>0</v>
      </c>
      <c r="H52" s="280">
        <v>0</v>
      </c>
      <c r="I52" s="130">
        <f t="shared" si="35"/>
        <v>0</v>
      </c>
      <c r="J52" s="324" t="str">
        <f t="shared" si="27"/>
        <v>-</v>
      </c>
      <c r="K52" s="282"/>
      <c r="L52" s="181">
        <v>0</v>
      </c>
      <c r="M52" s="76">
        <v>0</v>
      </c>
      <c r="N52" s="280">
        <f t="shared" si="39"/>
        <v>0</v>
      </c>
      <c r="O52" s="324" t="str">
        <f t="shared" si="28"/>
        <v>-</v>
      </c>
      <c r="P52" s="282"/>
      <c r="Q52" s="213"/>
      <c r="R52" s="280">
        <v>0</v>
      </c>
      <c r="S52" s="280">
        <f t="shared" si="38"/>
        <v>0</v>
      </c>
      <c r="T52" s="279" t="str">
        <f t="shared" si="29"/>
        <v>-</v>
      </c>
      <c r="U52" s="282"/>
      <c r="V52" s="281">
        <f t="shared" si="30"/>
        <v>0</v>
      </c>
      <c r="W52" s="280">
        <f t="shared" si="36"/>
        <v>0</v>
      </c>
      <c r="X52" s="76">
        <f t="shared" si="37"/>
        <v>0</v>
      </c>
      <c r="Y52" s="324" t="str">
        <f t="shared" si="31"/>
        <v>-</v>
      </c>
      <c r="Z52" s="282"/>
      <c r="AA52" s="281">
        <v>0</v>
      </c>
      <c r="AB52" s="280">
        <v>0</v>
      </c>
      <c r="AC52" s="324" t="str">
        <f t="shared" si="33"/>
        <v>-</v>
      </c>
      <c r="AD52" s="278"/>
      <c r="AE52" s="277"/>
    </row>
    <row r="53" spans="1:31" s="276" customFormat="1" ht="15.75" x14ac:dyDescent="0.25">
      <c r="A53" s="270" t="s">
        <v>57</v>
      </c>
      <c r="B53" s="281">
        <v>733154.25</v>
      </c>
      <c r="C53" s="280">
        <v>827250</v>
      </c>
      <c r="D53" s="250">
        <f t="shared" si="34"/>
        <v>-94095.75</v>
      </c>
      <c r="E53" s="324">
        <f t="shared" si="26"/>
        <v>-0.12834372848551312</v>
      </c>
      <c r="F53" s="282"/>
      <c r="G53" s="281">
        <f>244384.75*3</f>
        <v>733154.25</v>
      </c>
      <c r="H53" s="280">
        <f>238351.03+53550.9+72636.78</f>
        <v>364538.70999999996</v>
      </c>
      <c r="I53" s="130">
        <f t="shared" si="35"/>
        <v>368615.54000000004</v>
      </c>
      <c r="J53" s="324">
        <f t="shared" si="27"/>
        <v>0.50278033578881942</v>
      </c>
      <c r="K53" s="282"/>
      <c r="L53" s="181">
        <v>0</v>
      </c>
      <c r="M53" s="76">
        <v>0</v>
      </c>
      <c r="N53" s="280">
        <f t="shared" si="39"/>
        <v>0</v>
      </c>
      <c r="O53" s="324" t="str">
        <f t="shared" si="28"/>
        <v>-</v>
      </c>
      <c r="P53" s="282"/>
      <c r="Q53" s="213"/>
      <c r="R53" s="280">
        <v>0</v>
      </c>
      <c r="S53" s="280">
        <f t="shared" si="38"/>
        <v>0</v>
      </c>
      <c r="T53" s="325" t="str">
        <f t="shared" si="29"/>
        <v>-</v>
      </c>
      <c r="U53" s="282"/>
      <c r="V53" s="281">
        <f t="shared" si="30"/>
        <v>1466308.5</v>
      </c>
      <c r="W53" s="280">
        <f t="shared" si="36"/>
        <v>1191788.71</v>
      </c>
      <c r="X53" s="76">
        <f t="shared" si="37"/>
        <v>274519.79000000004</v>
      </c>
      <c r="Y53" s="324">
        <f t="shared" si="31"/>
        <v>0.18721830365165315</v>
      </c>
      <c r="Z53" s="282"/>
      <c r="AA53" s="281">
        <v>2932617</v>
      </c>
      <c r="AB53" s="280">
        <f t="shared" ref="AB53:AB75" si="40">AA53-W53</f>
        <v>1740828.29</v>
      </c>
      <c r="AC53" s="324">
        <f t="shared" si="33"/>
        <v>0.59360915182582652</v>
      </c>
      <c r="AD53" s="278"/>
      <c r="AE53" s="323"/>
    </row>
    <row r="54" spans="1:31" s="276" customFormat="1" ht="15.75" x14ac:dyDescent="0.25">
      <c r="A54" s="270" t="s">
        <v>58</v>
      </c>
      <c r="B54" s="281">
        <v>0</v>
      </c>
      <c r="C54" s="280">
        <v>0</v>
      </c>
      <c r="D54" s="250">
        <f t="shared" si="34"/>
        <v>0</v>
      </c>
      <c r="E54" s="324" t="str">
        <f t="shared" si="26"/>
        <v>-</v>
      </c>
      <c r="F54" s="282"/>
      <c r="G54" s="281">
        <v>0</v>
      </c>
      <c r="H54" s="280">
        <v>0</v>
      </c>
      <c r="I54" s="130">
        <f t="shared" si="35"/>
        <v>0</v>
      </c>
      <c r="J54" s="324" t="str">
        <f t="shared" si="27"/>
        <v>-</v>
      </c>
      <c r="K54" s="282"/>
      <c r="L54" s="181">
        <v>0</v>
      </c>
      <c r="M54" s="76">
        <v>0</v>
      </c>
      <c r="N54" s="280">
        <f t="shared" si="39"/>
        <v>0</v>
      </c>
      <c r="O54" s="324" t="str">
        <f t="shared" si="28"/>
        <v>-</v>
      </c>
      <c r="P54" s="282"/>
      <c r="Q54" s="213"/>
      <c r="R54" s="280">
        <v>0</v>
      </c>
      <c r="S54" s="280">
        <f t="shared" si="38"/>
        <v>0</v>
      </c>
      <c r="T54" s="325" t="str">
        <f t="shared" si="29"/>
        <v>-</v>
      </c>
      <c r="U54" s="282"/>
      <c r="V54" s="281">
        <f t="shared" si="30"/>
        <v>0</v>
      </c>
      <c r="W54" s="280">
        <f t="shared" si="36"/>
        <v>0</v>
      </c>
      <c r="X54" s="76">
        <f t="shared" si="37"/>
        <v>0</v>
      </c>
      <c r="Y54" s="324" t="str">
        <f t="shared" si="31"/>
        <v>-</v>
      </c>
      <c r="Z54" s="282"/>
      <c r="AA54" s="281">
        <v>0</v>
      </c>
      <c r="AB54" s="280">
        <f t="shared" si="40"/>
        <v>0</v>
      </c>
      <c r="AC54" s="324" t="str">
        <f t="shared" si="33"/>
        <v>-</v>
      </c>
      <c r="AD54" s="278"/>
      <c r="AE54" s="323"/>
    </row>
    <row r="55" spans="1:31" s="276" customFormat="1" ht="15.75" x14ac:dyDescent="0.25">
      <c r="A55" s="270" t="s">
        <v>59</v>
      </c>
      <c r="B55" s="281">
        <f>3450*3</f>
        <v>10350</v>
      </c>
      <c r="C55" s="280">
        <v>414.66</v>
      </c>
      <c r="D55" s="250">
        <f t="shared" si="34"/>
        <v>9935.34</v>
      </c>
      <c r="E55" s="324">
        <f t="shared" si="26"/>
        <v>0.95993623188405797</v>
      </c>
      <c r="F55" s="282"/>
      <c r="G55" s="281">
        <f>3450*3</f>
        <v>10350</v>
      </c>
      <c r="H55" s="280">
        <f>1343.55+739.79+2401.37</f>
        <v>4484.71</v>
      </c>
      <c r="I55" s="280">
        <f t="shared" ref="I55:I75" si="41">G55-H55</f>
        <v>5865.29</v>
      </c>
      <c r="J55" s="324">
        <f t="shared" si="27"/>
        <v>0.56669468599033812</v>
      </c>
      <c r="K55" s="282"/>
      <c r="L55" s="181">
        <v>0</v>
      </c>
      <c r="M55" s="76">
        <v>0</v>
      </c>
      <c r="N55" s="280">
        <f t="shared" si="39"/>
        <v>0</v>
      </c>
      <c r="O55" s="324" t="str">
        <f t="shared" si="28"/>
        <v>-</v>
      </c>
      <c r="P55" s="282"/>
      <c r="Q55" s="213"/>
      <c r="R55" s="280">
        <v>0</v>
      </c>
      <c r="S55" s="280">
        <f t="shared" si="38"/>
        <v>0</v>
      </c>
      <c r="T55" s="279" t="str">
        <f t="shared" si="29"/>
        <v>-</v>
      </c>
      <c r="U55" s="282"/>
      <c r="V55" s="281">
        <f t="shared" si="30"/>
        <v>20700</v>
      </c>
      <c r="W55" s="280">
        <f t="shared" si="36"/>
        <v>4899.37</v>
      </c>
      <c r="X55" s="76">
        <f t="shared" si="37"/>
        <v>15800.630000000001</v>
      </c>
      <c r="Y55" s="324">
        <f t="shared" si="31"/>
        <v>0.7633154589371981</v>
      </c>
      <c r="Z55" s="282"/>
      <c r="AA55" s="281">
        <v>41400</v>
      </c>
      <c r="AB55" s="280">
        <f t="shared" si="40"/>
        <v>36500.629999999997</v>
      </c>
      <c r="AC55" s="324">
        <f t="shared" si="33"/>
        <v>0.88165772946859899</v>
      </c>
      <c r="AD55" s="278"/>
      <c r="AE55" s="277"/>
    </row>
    <row r="56" spans="1:31" s="276" customFormat="1" ht="15.75" x14ac:dyDescent="0.25">
      <c r="A56" s="270" t="s">
        <v>60</v>
      </c>
      <c r="B56" s="281">
        <f>(20210.67+23666.67)*3</f>
        <v>131632.01999999999</v>
      </c>
      <c r="C56" s="280">
        <v>0</v>
      </c>
      <c r="D56" s="250">
        <f t="shared" si="34"/>
        <v>131632.01999999999</v>
      </c>
      <c r="E56" s="324">
        <f t="shared" si="26"/>
        <v>1</v>
      </c>
      <c r="F56" s="282"/>
      <c r="G56" s="281">
        <f>(20210.67+23666.67)*3</f>
        <v>131632.01999999999</v>
      </c>
      <c r="H56" s="280">
        <v>189333.33</v>
      </c>
      <c r="I56" s="280">
        <f t="shared" si="41"/>
        <v>-57701.31</v>
      </c>
      <c r="J56" s="324">
        <f t="shared" si="27"/>
        <v>-0.43835314538210385</v>
      </c>
      <c r="K56" s="282"/>
      <c r="L56" s="181">
        <v>0</v>
      </c>
      <c r="M56" s="76">
        <v>0</v>
      </c>
      <c r="N56" s="280">
        <f t="shared" si="39"/>
        <v>0</v>
      </c>
      <c r="O56" s="324" t="str">
        <f t="shared" si="28"/>
        <v>-</v>
      </c>
      <c r="P56" s="282"/>
      <c r="Q56" s="213"/>
      <c r="R56" s="280">
        <v>0</v>
      </c>
      <c r="S56" s="280">
        <f t="shared" si="38"/>
        <v>0</v>
      </c>
      <c r="T56" s="279" t="str">
        <f t="shared" si="29"/>
        <v>-</v>
      </c>
      <c r="U56" s="282"/>
      <c r="V56" s="281">
        <f t="shared" si="30"/>
        <v>263264.03999999998</v>
      </c>
      <c r="W56" s="280">
        <f t="shared" si="36"/>
        <v>189333.33</v>
      </c>
      <c r="X56" s="76">
        <f>V56-W56</f>
        <v>73930.709999999992</v>
      </c>
      <c r="Y56" s="324">
        <f t="shared" si="31"/>
        <v>0.28082342730894805</v>
      </c>
      <c r="Z56" s="282"/>
      <c r="AA56" s="281">
        <v>526528.07999999996</v>
      </c>
      <c r="AB56" s="280">
        <f t="shared" si="40"/>
        <v>337194.75</v>
      </c>
      <c r="AC56" s="324">
        <f t="shared" si="33"/>
        <v>0.64041171365447414</v>
      </c>
      <c r="AD56" s="278"/>
      <c r="AE56" s="277"/>
    </row>
    <row r="57" spans="1:31" s="276" customFormat="1" ht="15.75" x14ac:dyDescent="0.25">
      <c r="A57" s="270" t="s">
        <v>61</v>
      </c>
      <c r="B57" s="281">
        <v>1500</v>
      </c>
      <c r="C57" s="280">
        <v>32931.279999999999</v>
      </c>
      <c r="D57" s="280">
        <f t="shared" ref="D57:D75" si="42">B57-C57</f>
        <v>-31431.279999999999</v>
      </c>
      <c r="E57" s="324">
        <f t="shared" si="26"/>
        <v>-20.954186666666665</v>
      </c>
      <c r="F57" s="287"/>
      <c r="G57" s="281">
        <v>1500</v>
      </c>
      <c r="H57" s="280">
        <v>0</v>
      </c>
      <c r="I57" s="280">
        <f t="shared" si="41"/>
        <v>1500</v>
      </c>
      <c r="J57" s="324">
        <f t="shared" si="27"/>
        <v>1</v>
      </c>
      <c r="K57" s="287"/>
      <c r="L57" s="181">
        <v>0</v>
      </c>
      <c r="M57" s="76">
        <v>0</v>
      </c>
      <c r="N57" s="280">
        <f t="shared" si="39"/>
        <v>0</v>
      </c>
      <c r="O57" s="324" t="str">
        <f t="shared" si="28"/>
        <v>-</v>
      </c>
      <c r="P57" s="287"/>
      <c r="Q57" s="213"/>
      <c r="R57" s="280">
        <v>0</v>
      </c>
      <c r="S57" s="280">
        <f t="shared" si="38"/>
        <v>0</v>
      </c>
      <c r="T57" s="279" t="str">
        <f t="shared" si="29"/>
        <v>-</v>
      </c>
      <c r="U57" s="287"/>
      <c r="V57" s="281">
        <f t="shared" si="30"/>
        <v>3000</v>
      </c>
      <c r="W57" s="280">
        <f t="shared" si="36"/>
        <v>32931.279999999999</v>
      </c>
      <c r="X57" s="76">
        <f t="shared" si="37"/>
        <v>-29931.279999999999</v>
      </c>
      <c r="Y57" s="324">
        <f t="shared" si="31"/>
        <v>-9.9770933333333325</v>
      </c>
      <c r="Z57" s="287"/>
      <c r="AA57" s="281">
        <v>6000</v>
      </c>
      <c r="AB57" s="280">
        <f t="shared" si="40"/>
        <v>-26931.279999999999</v>
      </c>
      <c r="AC57" s="324">
        <f t="shared" si="33"/>
        <v>-4.4885466666666662</v>
      </c>
      <c r="AD57" s="286"/>
      <c r="AE57" s="277"/>
    </row>
    <row r="58" spans="1:31" s="276" customFormat="1" ht="15.75" x14ac:dyDescent="0.25">
      <c r="A58" s="270" t="s">
        <v>62</v>
      </c>
      <c r="B58" s="281">
        <f>125*3</f>
        <v>375</v>
      </c>
      <c r="C58" s="280">
        <v>0</v>
      </c>
      <c r="D58" s="280">
        <f t="shared" si="42"/>
        <v>375</v>
      </c>
      <c r="E58" s="324">
        <f t="shared" si="26"/>
        <v>1</v>
      </c>
      <c r="F58" s="287"/>
      <c r="G58" s="281">
        <f>125*3</f>
        <v>375</v>
      </c>
      <c r="H58" s="280">
        <v>4278.0200000000004</v>
      </c>
      <c r="I58" s="280">
        <f t="shared" si="41"/>
        <v>-3903.0200000000004</v>
      </c>
      <c r="J58" s="324">
        <f t="shared" si="27"/>
        <v>-10.408053333333335</v>
      </c>
      <c r="K58" s="287"/>
      <c r="L58" s="181">
        <v>0</v>
      </c>
      <c r="M58" s="76">
        <v>0</v>
      </c>
      <c r="N58" s="280">
        <f t="shared" si="39"/>
        <v>0</v>
      </c>
      <c r="O58" s="324" t="str">
        <f t="shared" si="28"/>
        <v>-</v>
      </c>
      <c r="P58" s="287"/>
      <c r="Q58" s="213"/>
      <c r="R58" s="280">
        <v>0</v>
      </c>
      <c r="S58" s="280">
        <f t="shared" si="38"/>
        <v>0</v>
      </c>
      <c r="T58" s="279" t="str">
        <f t="shared" si="29"/>
        <v>-</v>
      </c>
      <c r="U58" s="287"/>
      <c r="V58" s="281">
        <f t="shared" si="30"/>
        <v>750</v>
      </c>
      <c r="W58" s="280">
        <f t="shared" si="36"/>
        <v>4278.0200000000004</v>
      </c>
      <c r="X58" s="76">
        <f t="shared" si="37"/>
        <v>-3528.0200000000004</v>
      </c>
      <c r="Y58" s="324">
        <f t="shared" si="31"/>
        <v>-4.7040266666666675</v>
      </c>
      <c r="Z58" s="287"/>
      <c r="AA58" s="281">
        <v>1500</v>
      </c>
      <c r="AB58" s="280">
        <f t="shared" si="40"/>
        <v>-2778.0200000000004</v>
      </c>
      <c r="AC58" s="324">
        <f t="shared" si="33"/>
        <v>-1.8520133333333337</v>
      </c>
      <c r="AD58" s="286"/>
      <c r="AE58" s="277"/>
    </row>
    <row r="59" spans="1:31" s="276" customFormat="1" ht="15.75" x14ac:dyDescent="0.25">
      <c r="A59" s="270" t="s">
        <v>63</v>
      </c>
      <c r="B59" s="281">
        <f>57186.32*3</f>
        <v>171558.96</v>
      </c>
      <c r="C59" s="280">
        <v>155389.39000000001</v>
      </c>
      <c r="D59" s="280">
        <f t="shared" si="42"/>
        <v>16169.569999999978</v>
      </c>
      <c r="E59" s="324">
        <f t="shared" si="26"/>
        <v>9.4250804504760227E-2</v>
      </c>
      <c r="F59" s="287"/>
      <c r="G59" s="281">
        <f>57186.32*3</f>
        <v>171558.96</v>
      </c>
      <c r="H59" s="280">
        <f>50651.07+29014.09+68225.47+53148.34</f>
        <v>201038.97</v>
      </c>
      <c r="I59" s="280">
        <f t="shared" si="41"/>
        <v>-29480.010000000009</v>
      </c>
      <c r="J59" s="324">
        <f t="shared" si="27"/>
        <v>-0.17183602651823029</v>
      </c>
      <c r="K59" s="287"/>
      <c r="L59" s="181">
        <v>0</v>
      </c>
      <c r="M59" s="76">
        <v>0</v>
      </c>
      <c r="N59" s="280">
        <f t="shared" si="39"/>
        <v>0</v>
      </c>
      <c r="O59" s="324" t="str">
        <f t="shared" si="28"/>
        <v>-</v>
      </c>
      <c r="P59" s="287"/>
      <c r="Q59" s="213"/>
      <c r="R59" s="280">
        <v>0</v>
      </c>
      <c r="S59" s="280">
        <f t="shared" si="38"/>
        <v>0</v>
      </c>
      <c r="T59" s="279" t="str">
        <f t="shared" si="29"/>
        <v>-</v>
      </c>
      <c r="U59" s="287"/>
      <c r="V59" s="281">
        <f t="shared" si="30"/>
        <v>343117.92</v>
      </c>
      <c r="W59" s="280">
        <f t="shared" si="36"/>
        <v>356428.36</v>
      </c>
      <c r="X59" s="76">
        <f t="shared" si="37"/>
        <v>-13310.440000000002</v>
      </c>
      <c r="Y59" s="324">
        <f t="shared" si="31"/>
        <v>-3.8792611006734951E-2</v>
      </c>
      <c r="Z59" s="287"/>
      <c r="AA59" s="281">
        <v>1396235.8399999999</v>
      </c>
      <c r="AB59" s="280">
        <f t="shared" si="40"/>
        <v>1039807.4799999999</v>
      </c>
      <c r="AC59" s="324">
        <f t="shared" si="33"/>
        <v>0.74472195184446777</v>
      </c>
      <c r="AD59" s="286"/>
      <c r="AE59" s="277"/>
    </row>
    <row r="60" spans="1:31" s="276" customFormat="1" ht="15.75" x14ac:dyDescent="0.25">
      <c r="A60" s="270" t="s">
        <v>64</v>
      </c>
      <c r="B60" s="281">
        <v>0</v>
      </c>
      <c r="C60" s="280">
        <v>0</v>
      </c>
      <c r="D60" s="280">
        <f t="shared" si="42"/>
        <v>0</v>
      </c>
      <c r="E60" s="324" t="str">
        <f t="shared" si="26"/>
        <v>-</v>
      </c>
      <c r="F60" s="287"/>
      <c r="G60" s="281">
        <v>0</v>
      </c>
      <c r="H60" s="280">
        <v>0</v>
      </c>
      <c r="I60" s="280">
        <f t="shared" si="41"/>
        <v>0</v>
      </c>
      <c r="J60" s="324" t="str">
        <f t="shared" si="27"/>
        <v>-</v>
      </c>
      <c r="K60" s="287"/>
      <c r="L60" s="181">
        <v>0</v>
      </c>
      <c r="M60" s="76">
        <v>0</v>
      </c>
      <c r="N60" s="280">
        <f t="shared" si="39"/>
        <v>0</v>
      </c>
      <c r="O60" s="324" t="str">
        <f t="shared" si="28"/>
        <v>-</v>
      </c>
      <c r="P60" s="287"/>
      <c r="Q60" s="213"/>
      <c r="R60" s="280">
        <v>0</v>
      </c>
      <c r="S60" s="280">
        <f t="shared" si="38"/>
        <v>0</v>
      </c>
      <c r="T60" s="279" t="str">
        <f t="shared" si="29"/>
        <v>-</v>
      </c>
      <c r="U60" s="287"/>
      <c r="V60" s="281">
        <f t="shared" si="30"/>
        <v>0</v>
      </c>
      <c r="W60" s="280">
        <f t="shared" si="36"/>
        <v>0</v>
      </c>
      <c r="X60" s="76">
        <f t="shared" si="37"/>
        <v>0</v>
      </c>
      <c r="Y60" s="324" t="str">
        <f t="shared" si="31"/>
        <v>-</v>
      </c>
      <c r="Z60" s="287"/>
      <c r="AA60" s="281">
        <v>0</v>
      </c>
      <c r="AB60" s="280">
        <f t="shared" si="40"/>
        <v>0</v>
      </c>
      <c r="AC60" s="324" t="str">
        <f t="shared" si="33"/>
        <v>-</v>
      </c>
      <c r="AD60" s="286"/>
      <c r="AE60" s="277"/>
    </row>
    <row r="61" spans="1:31" s="276" customFormat="1" ht="15.75" x14ac:dyDescent="0.25">
      <c r="A61" s="270" t="s">
        <v>65</v>
      </c>
      <c r="B61" s="281">
        <f>(12867+2655.5+25329.83)*3</f>
        <v>122556.99</v>
      </c>
      <c r="C61" s="280">
        <v>250518</v>
      </c>
      <c r="D61" s="280">
        <f t="shared" si="42"/>
        <v>-127961.01</v>
      </c>
      <c r="E61" s="324">
        <f t="shared" si="26"/>
        <v>-1.0440939354009917</v>
      </c>
      <c r="F61" s="282"/>
      <c r="G61" s="281">
        <f>(12867+2655.5+25329.83)*3</f>
        <v>122556.99</v>
      </c>
      <c r="H61" s="280">
        <f>2151.2+3590.01+3704.28+61927.93+4702.04+112462.98</f>
        <v>188538.44</v>
      </c>
      <c r="I61" s="280">
        <f t="shared" si="41"/>
        <v>-65981.45</v>
      </c>
      <c r="J61" s="324">
        <f t="shared" si="27"/>
        <v>-0.53837361704134534</v>
      </c>
      <c r="K61" s="282"/>
      <c r="L61" s="181">
        <v>0</v>
      </c>
      <c r="M61" s="76">
        <v>0</v>
      </c>
      <c r="N61" s="280">
        <f t="shared" si="39"/>
        <v>0</v>
      </c>
      <c r="O61" s="324" t="str">
        <f t="shared" si="28"/>
        <v>-</v>
      </c>
      <c r="P61" s="282"/>
      <c r="Q61" s="213"/>
      <c r="R61" s="280">
        <v>0</v>
      </c>
      <c r="S61" s="280">
        <f t="shared" si="38"/>
        <v>0</v>
      </c>
      <c r="T61" s="279" t="str">
        <f t="shared" si="29"/>
        <v>-</v>
      </c>
      <c r="U61" s="282"/>
      <c r="V61" s="281">
        <f t="shared" si="30"/>
        <v>245113.98</v>
      </c>
      <c r="W61" s="280">
        <f t="shared" si="36"/>
        <v>439056.44</v>
      </c>
      <c r="X61" s="76">
        <f t="shared" si="37"/>
        <v>-193942.46</v>
      </c>
      <c r="Y61" s="324">
        <f t="shared" si="31"/>
        <v>-0.79123377622116853</v>
      </c>
      <c r="Z61" s="282"/>
      <c r="AA61" s="281">
        <v>490227.96</v>
      </c>
      <c r="AB61" s="280">
        <f t="shared" si="40"/>
        <v>51171.520000000019</v>
      </c>
      <c r="AC61" s="324">
        <f t="shared" si="33"/>
        <v>0.10438311188941572</v>
      </c>
      <c r="AD61" s="278"/>
      <c r="AE61" s="277"/>
    </row>
    <row r="62" spans="1:31" s="276" customFormat="1" ht="15.75" x14ac:dyDescent="0.25">
      <c r="A62" s="270" t="s">
        <v>66</v>
      </c>
      <c r="B62" s="281">
        <f>86086.41*3</f>
        <v>258259.23</v>
      </c>
      <c r="C62" s="280">
        <v>0</v>
      </c>
      <c r="D62" s="280">
        <f t="shared" si="42"/>
        <v>258259.23</v>
      </c>
      <c r="E62" s="324">
        <f t="shared" si="26"/>
        <v>1</v>
      </c>
      <c r="F62" s="282"/>
      <c r="G62" s="281">
        <f>86086.41*3</f>
        <v>258259.23</v>
      </c>
      <c r="H62" s="280">
        <f>64984.4+10525.83+8915.62</f>
        <v>84425.849999999991</v>
      </c>
      <c r="I62" s="280">
        <f t="shared" si="41"/>
        <v>173833.38</v>
      </c>
      <c r="J62" s="324">
        <f t="shared" si="27"/>
        <v>0.67309648526405041</v>
      </c>
      <c r="K62" s="282"/>
      <c r="L62" s="181">
        <v>0</v>
      </c>
      <c r="M62" s="76">
        <v>0</v>
      </c>
      <c r="N62" s="280">
        <f t="shared" si="39"/>
        <v>0</v>
      </c>
      <c r="O62" s="324" t="str">
        <f t="shared" si="28"/>
        <v>-</v>
      </c>
      <c r="P62" s="282"/>
      <c r="Q62" s="213"/>
      <c r="R62" s="280">
        <v>0</v>
      </c>
      <c r="S62" s="280">
        <f t="shared" si="38"/>
        <v>0</v>
      </c>
      <c r="T62" s="325" t="str">
        <f t="shared" si="29"/>
        <v>-</v>
      </c>
      <c r="U62" s="282"/>
      <c r="V62" s="281">
        <f t="shared" si="30"/>
        <v>516518.46</v>
      </c>
      <c r="W62" s="280">
        <f t="shared" si="36"/>
        <v>84425.849999999991</v>
      </c>
      <c r="X62" s="76">
        <f t="shared" si="37"/>
        <v>432092.61000000004</v>
      </c>
      <c r="Y62" s="324">
        <f t="shared" si="31"/>
        <v>0.83654824263202521</v>
      </c>
      <c r="Z62" s="282"/>
      <c r="AA62" s="281">
        <v>1033036.92</v>
      </c>
      <c r="AB62" s="280">
        <f t="shared" si="40"/>
        <v>948611.07000000007</v>
      </c>
      <c r="AC62" s="324">
        <f t="shared" si="33"/>
        <v>0.9182741213160126</v>
      </c>
      <c r="AD62" s="278"/>
      <c r="AE62" s="323"/>
    </row>
    <row r="63" spans="1:31" ht="15.75" x14ac:dyDescent="0.25">
      <c r="A63" s="322" t="s">
        <v>67</v>
      </c>
      <c r="B63" s="250">
        <v>0</v>
      </c>
      <c r="C63" s="76">
        <v>0</v>
      </c>
      <c r="D63" s="76">
        <f t="shared" si="42"/>
        <v>0</v>
      </c>
      <c r="E63" s="312" t="str">
        <f t="shared" si="26"/>
        <v>-</v>
      </c>
      <c r="F63" s="207"/>
      <c r="G63" s="213">
        <v>0</v>
      </c>
      <c r="H63" s="130">
        <v>0</v>
      </c>
      <c r="I63" s="130">
        <f t="shared" si="41"/>
        <v>0</v>
      </c>
      <c r="J63" s="313" t="str">
        <f t="shared" si="27"/>
        <v>-</v>
      </c>
      <c r="K63" s="207"/>
      <c r="L63" s="181">
        <v>0</v>
      </c>
      <c r="M63" s="76">
        <v>0</v>
      </c>
      <c r="N63" s="76">
        <f t="shared" si="39"/>
        <v>0</v>
      </c>
      <c r="O63" s="312"/>
      <c r="P63" s="207"/>
      <c r="Q63" s="213">
        <f>L63</f>
        <v>0</v>
      </c>
      <c r="R63" s="130">
        <v>0</v>
      </c>
      <c r="S63" s="130">
        <f t="shared" si="38"/>
        <v>0</v>
      </c>
      <c r="T63" s="220"/>
      <c r="U63" s="207"/>
      <c r="V63" s="181">
        <f t="shared" si="30"/>
        <v>0</v>
      </c>
      <c r="W63" s="76">
        <f t="shared" si="36"/>
        <v>0</v>
      </c>
      <c r="X63" s="76">
        <f t="shared" si="37"/>
        <v>0</v>
      </c>
      <c r="Y63" s="312" t="str">
        <f t="shared" si="31"/>
        <v>-</v>
      </c>
      <c r="Z63" s="207"/>
      <c r="AA63" s="181">
        <v>0</v>
      </c>
      <c r="AB63" s="76">
        <f t="shared" si="40"/>
        <v>0</v>
      </c>
      <c r="AC63" s="312" t="str">
        <f t="shared" si="33"/>
        <v>-</v>
      </c>
      <c r="AD63" s="165"/>
      <c r="AE63" s="77"/>
    </row>
    <row r="64" spans="1:31" ht="15.75" x14ac:dyDescent="0.25">
      <c r="A64" s="145" t="s">
        <v>68</v>
      </c>
      <c r="B64" s="181">
        <v>230817.9</v>
      </c>
      <c r="C64" s="76">
        <v>207070.45</v>
      </c>
      <c r="D64" s="76">
        <f t="shared" si="42"/>
        <v>23747.449999999983</v>
      </c>
      <c r="E64" s="312">
        <f t="shared" si="26"/>
        <v>0.10288391844826586</v>
      </c>
      <c r="F64" s="207"/>
      <c r="G64" s="213">
        <v>230817</v>
      </c>
      <c r="H64" s="130">
        <f>5122.5+155499.29+102583.24</f>
        <v>263205.03000000003</v>
      </c>
      <c r="I64" s="130">
        <f t="shared" si="41"/>
        <v>-32388.030000000028</v>
      </c>
      <c r="J64" s="313">
        <f t="shared" si="27"/>
        <v>-0.14031908394962256</v>
      </c>
      <c r="K64" s="207"/>
      <c r="L64" s="181">
        <v>0</v>
      </c>
      <c r="M64" s="76">
        <v>0</v>
      </c>
      <c r="N64" s="76">
        <f t="shared" si="39"/>
        <v>0</v>
      </c>
      <c r="O64" s="312" t="str">
        <f t="shared" ref="O64:O73" si="43">IF(ISERROR(N64/L64),"-",N64/L64)</f>
        <v>-</v>
      </c>
      <c r="P64" s="207"/>
      <c r="Q64" s="213"/>
      <c r="R64" s="130">
        <v>0</v>
      </c>
      <c r="S64" s="130">
        <f t="shared" si="38"/>
        <v>0</v>
      </c>
      <c r="T64" s="220" t="str">
        <f t="shared" ref="T64:T73" si="44">IF(ISERROR(S64/Q64),"-",S64/Q64)</f>
        <v>-</v>
      </c>
      <c r="U64" s="207"/>
      <c r="V64" s="181">
        <f t="shared" si="30"/>
        <v>461634.9</v>
      </c>
      <c r="W64" s="76">
        <f>C64+H64+M64+R64</f>
        <v>470275.48000000004</v>
      </c>
      <c r="X64" s="76">
        <f t="shared" si="37"/>
        <v>-8640.5800000000163</v>
      </c>
      <c r="Y64" s="312">
        <f t="shared" si="31"/>
        <v>-1.8717345677287431E-2</v>
      </c>
      <c r="Z64" s="207"/>
      <c r="AA64" s="181">
        <v>923268.9</v>
      </c>
      <c r="AB64" s="76">
        <f t="shared" si="40"/>
        <v>452993.42</v>
      </c>
      <c r="AC64" s="312">
        <f t="shared" si="33"/>
        <v>0.49064083063991432</v>
      </c>
      <c r="AD64" s="165"/>
      <c r="AE64" s="78"/>
    </row>
    <row r="65" spans="1:31" ht="15.75" x14ac:dyDescent="0.25">
      <c r="A65" s="145" t="s">
        <v>183</v>
      </c>
      <c r="B65" s="181">
        <f>2700*3</f>
        <v>8100</v>
      </c>
      <c r="C65" s="76">
        <v>0</v>
      </c>
      <c r="D65" s="76">
        <f t="shared" si="42"/>
        <v>8100</v>
      </c>
      <c r="E65" s="312">
        <f t="shared" si="26"/>
        <v>1</v>
      </c>
      <c r="F65" s="205"/>
      <c r="G65" s="181">
        <f>2700*3</f>
        <v>8100</v>
      </c>
      <c r="H65" s="130">
        <f>2688.2+2688.2+4832.2</f>
        <v>10208.599999999999</v>
      </c>
      <c r="I65" s="130">
        <f t="shared" si="41"/>
        <v>-2108.5999999999985</v>
      </c>
      <c r="J65" s="313">
        <f t="shared" si="27"/>
        <v>-0.26032098765432082</v>
      </c>
      <c r="K65" s="205"/>
      <c r="L65" s="181">
        <v>0</v>
      </c>
      <c r="M65" s="76">
        <v>0</v>
      </c>
      <c r="N65" s="76">
        <f t="shared" si="39"/>
        <v>0</v>
      </c>
      <c r="O65" s="312" t="str">
        <f t="shared" si="43"/>
        <v>-</v>
      </c>
      <c r="P65" s="205"/>
      <c r="Q65" s="213"/>
      <c r="R65" s="130">
        <v>0</v>
      </c>
      <c r="S65" s="130">
        <f t="shared" si="38"/>
        <v>0</v>
      </c>
      <c r="T65" s="214" t="str">
        <f t="shared" si="44"/>
        <v>-</v>
      </c>
      <c r="U65" s="205"/>
      <c r="V65" s="181">
        <f t="shared" si="30"/>
        <v>16200</v>
      </c>
      <c r="W65" s="76">
        <f t="shared" si="36"/>
        <v>10208.599999999999</v>
      </c>
      <c r="X65" s="76">
        <f t="shared" si="37"/>
        <v>5991.4000000000015</v>
      </c>
      <c r="Y65" s="312">
        <f t="shared" si="31"/>
        <v>0.36983950617283962</v>
      </c>
      <c r="Z65" s="205"/>
      <c r="AA65" s="181">
        <v>32400</v>
      </c>
      <c r="AB65" s="76">
        <f t="shared" si="40"/>
        <v>22191.4</v>
      </c>
      <c r="AC65" s="312">
        <f t="shared" si="33"/>
        <v>0.68491975308641984</v>
      </c>
      <c r="AD65" s="163"/>
      <c r="AE65" s="77"/>
    </row>
    <row r="66" spans="1:31" ht="15.75" x14ac:dyDescent="0.25">
      <c r="A66" s="145" t="s">
        <v>70</v>
      </c>
      <c r="B66" s="181">
        <v>0</v>
      </c>
      <c r="C66" s="76">
        <v>0</v>
      </c>
      <c r="D66" s="76">
        <f t="shared" si="42"/>
        <v>0</v>
      </c>
      <c r="E66" s="312" t="str">
        <f t="shared" si="26"/>
        <v>-</v>
      </c>
      <c r="F66" s="205"/>
      <c r="G66" s="181">
        <v>0</v>
      </c>
      <c r="H66" s="130">
        <v>0</v>
      </c>
      <c r="I66" s="130">
        <f t="shared" si="41"/>
        <v>0</v>
      </c>
      <c r="J66" s="313" t="str">
        <f t="shared" si="27"/>
        <v>-</v>
      </c>
      <c r="K66" s="205"/>
      <c r="L66" s="181">
        <v>0</v>
      </c>
      <c r="M66" s="76">
        <v>0</v>
      </c>
      <c r="N66" s="76">
        <f t="shared" si="39"/>
        <v>0</v>
      </c>
      <c r="O66" s="312" t="str">
        <f t="shared" si="43"/>
        <v>-</v>
      </c>
      <c r="P66" s="205"/>
      <c r="Q66" s="213"/>
      <c r="R66" s="130">
        <v>0</v>
      </c>
      <c r="S66" s="130">
        <f t="shared" si="38"/>
        <v>0</v>
      </c>
      <c r="T66" s="214" t="str">
        <f t="shared" si="44"/>
        <v>-</v>
      </c>
      <c r="U66" s="205"/>
      <c r="V66" s="181">
        <f t="shared" si="30"/>
        <v>0</v>
      </c>
      <c r="W66" s="76">
        <f t="shared" si="36"/>
        <v>0</v>
      </c>
      <c r="X66" s="76">
        <f t="shared" si="37"/>
        <v>0</v>
      </c>
      <c r="Y66" s="312" t="str">
        <f t="shared" si="31"/>
        <v>-</v>
      </c>
      <c r="Z66" s="205"/>
      <c r="AA66" s="181">
        <v>0</v>
      </c>
      <c r="AB66" s="76">
        <f t="shared" si="40"/>
        <v>0</v>
      </c>
      <c r="AC66" s="312" t="str">
        <f t="shared" si="33"/>
        <v>-</v>
      </c>
      <c r="AD66" s="163"/>
      <c r="AE66" s="77"/>
    </row>
    <row r="67" spans="1:31" ht="15.75" x14ac:dyDescent="0.25">
      <c r="A67" s="145" t="s">
        <v>71</v>
      </c>
      <c r="B67" s="181">
        <v>0</v>
      </c>
      <c r="C67" s="76">
        <v>0</v>
      </c>
      <c r="D67" s="76">
        <f t="shared" si="42"/>
        <v>0</v>
      </c>
      <c r="E67" s="312" t="str">
        <f t="shared" si="26"/>
        <v>-</v>
      </c>
      <c r="F67" s="205"/>
      <c r="G67" s="181">
        <v>0</v>
      </c>
      <c r="H67" s="130">
        <v>0</v>
      </c>
      <c r="I67" s="130">
        <f t="shared" si="41"/>
        <v>0</v>
      </c>
      <c r="J67" s="313" t="str">
        <f t="shared" si="27"/>
        <v>-</v>
      </c>
      <c r="K67" s="205"/>
      <c r="L67" s="181">
        <v>0</v>
      </c>
      <c r="M67" s="76">
        <v>0</v>
      </c>
      <c r="N67" s="76">
        <f t="shared" si="39"/>
        <v>0</v>
      </c>
      <c r="O67" s="312" t="str">
        <f t="shared" si="43"/>
        <v>-</v>
      </c>
      <c r="P67" s="205"/>
      <c r="Q67" s="213"/>
      <c r="R67" s="130">
        <v>0</v>
      </c>
      <c r="S67" s="130">
        <f t="shared" si="38"/>
        <v>0</v>
      </c>
      <c r="T67" s="214" t="str">
        <f t="shared" si="44"/>
        <v>-</v>
      </c>
      <c r="U67" s="205"/>
      <c r="V67" s="181">
        <f t="shared" si="30"/>
        <v>0</v>
      </c>
      <c r="W67" s="76">
        <f t="shared" si="36"/>
        <v>0</v>
      </c>
      <c r="X67" s="76">
        <f t="shared" si="37"/>
        <v>0</v>
      </c>
      <c r="Y67" s="312" t="str">
        <f t="shared" si="31"/>
        <v>-</v>
      </c>
      <c r="Z67" s="205"/>
      <c r="AA67" s="181">
        <v>0</v>
      </c>
      <c r="AB67" s="76">
        <f t="shared" si="40"/>
        <v>0</v>
      </c>
      <c r="AC67" s="312" t="str">
        <f t="shared" si="33"/>
        <v>-</v>
      </c>
      <c r="AD67" s="163"/>
      <c r="AE67" s="77"/>
    </row>
    <row r="68" spans="1:31" ht="15.75" x14ac:dyDescent="0.25">
      <c r="A68" s="145" t="s">
        <v>72</v>
      </c>
      <c r="B68" s="181">
        <v>0</v>
      </c>
      <c r="C68" s="76">
        <v>0</v>
      </c>
      <c r="D68" s="76">
        <f t="shared" si="42"/>
        <v>0</v>
      </c>
      <c r="E68" s="312" t="str">
        <f t="shared" si="26"/>
        <v>-</v>
      </c>
      <c r="F68" s="207"/>
      <c r="G68" s="213">
        <v>0</v>
      </c>
      <c r="H68" s="130">
        <v>0</v>
      </c>
      <c r="I68" s="130">
        <f t="shared" si="41"/>
        <v>0</v>
      </c>
      <c r="J68" s="313" t="str">
        <f t="shared" si="27"/>
        <v>-</v>
      </c>
      <c r="K68" s="207"/>
      <c r="L68" s="181">
        <v>0</v>
      </c>
      <c r="M68" s="76">
        <v>0</v>
      </c>
      <c r="N68" s="76">
        <f t="shared" si="39"/>
        <v>0</v>
      </c>
      <c r="O68" s="312" t="str">
        <f t="shared" si="43"/>
        <v>-</v>
      </c>
      <c r="P68" s="207"/>
      <c r="Q68" s="213"/>
      <c r="R68" s="130">
        <v>0</v>
      </c>
      <c r="S68" s="130">
        <f t="shared" si="38"/>
        <v>0</v>
      </c>
      <c r="T68" s="214" t="str">
        <f t="shared" si="44"/>
        <v>-</v>
      </c>
      <c r="U68" s="207"/>
      <c r="V68" s="181">
        <f t="shared" si="30"/>
        <v>0</v>
      </c>
      <c r="W68" s="76">
        <f t="shared" si="36"/>
        <v>0</v>
      </c>
      <c r="X68" s="76">
        <f t="shared" si="37"/>
        <v>0</v>
      </c>
      <c r="Y68" s="312" t="str">
        <f t="shared" si="31"/>
        <v>-</v>
      </c>
      <c r="Z68" s="207"/>
      <c r="AA68" s="181">
        <v>0</v>
      </c>
      <c r="AB68" s="76">
        <f t="shared" si="40"/>
        <v>0</v>
      </c>
      <c r="AC68" s="312" t="str">
        <f t="shared" si="33"/>
        <v>-</v>
      </c>
      <c r="AD68" s="165"/>
      <c r="AE68" s="77"/>
    </row>
    <row r="69" spans="1:31" ht="15.75" x14ac:dyDescent="0.25">
      <c r="A69" s="145" t="s">
        <v>73</v>
      </c>
      <c r="B69" s="181">
        <f>1145.83*3</f>
        <v>3437.49</v>
      </c>
      <c r="C69" s="76">
        <v>0</v>
      </c>
      <c r="D69" s="76">
        <f t="shared" si="42"/>
        <v>3437.49</v>
      </c>
      <c r="E69" s="312">
        <f t="shared" si="26"/>
        <v>1</v>
      </c>
      <c r="F69" s="207"/>
      <c r="G69" s="181">
        <f>1145.83*3</f>
        <v>3437.49</v>
      </c>
      <c r="H69" s="130">
        <v>0</v>
      </c>
      <c r="I69" s="130">
        <f t="shared" si="41"/>
        <v>3437.49</v>
      </c>
      <c r="J69" s="313">
        <f t="shared" si="27"/>
        <v>1</v>
      </c>
      <c r="K69" s="207"/>
      <c r="L69" s="181">
        <v>0</v>
      </c>
      <c r="M69" s="76">
        <v>0</v>
      </c>
      <c r="N69" s="76">
        <f t="shared" si="39"/>
        <v>0</v>
      </c>
      <c r="O69" s="312" t="str">
        <f t="shared" si="43"/>
        <v>-</v>
      </c>
      <c r="P69" s="207"/>
      <c r="Q69" s="213"/>
      <c r="R69" s="130">
        <v>0</v>
      </c>
      <c r="S69" s="130">
        <f t="shared" si="38"/>
        <v>0</v>
      </c>
      <c r="T69" s="220" t="str">
        <f t="shared" si="44"/>
        <v>-</v>
      </c>
      <c r="U69" s="207"/>
      <c r="V69" s="181">
        <f t="shared" si="30"/>
        <v>6874.98</v>
      </c>
      <c r="W69" s="76">
        <f t="shared" si="36"/>
        <v>0</v>
      </c>
      <c r="X69" s="76">
        <f t="shared" si="37"/>
        <v>6874.98</v>
      </c>
      <c r="Y69" s="312">
        <f t="shared" si="31"/>
        <v>1</v>
      </c>
      <c r="Z69" s="207"/>
      <c r="AA69" s="181">
        <v>13749.96</v>
      </c>
      <c r="AB69" s="76">
        <f t="shared" si="40"/>
        <v>13749.96</v>
      </c>
      <c r="AC69" s="312">
        <f t="shared" si="33"/>
        <v>1</v>
      </c>
      <c r="AD69" s="165"/>
      <c r="AE69" s="78"/>
    </row>
    <row r="70" spans="1:31" ht="15.75" x14ac:dyDescent="0.25">
      <c r="A70" s="145" t="s">
        <v>74</v>
      </c>
      <c r="B70" s="181">
        <v>0</v>
      </c>
      <c r="C70" s="76">
        <v>0</v>
      </c>
      <c r="D70" s="76">
        <f t="shared" si="42"/>
        <v>0</v>
      </c>
      <c r="E70" s="312" t="str">
        <f t="shared" si="26"/>
        <v>-</v>
      </c>
      <c r="F70" s="207"/>
      <c r="G70" s="213">
        <v>0</v>
      </c>
      <c r="H70" s="130">
        <v>0</v>
      </c>
      <c r="I70" s="130">
        <f t="shared" si="41"/>
        <v>0</v>
      </c>
      <c r="J70" s="313" t="str">
        <f t="shared" si="27"/>
        <v>-</v>
      </c>
      <c r="K70" s="207"/>
      <c r="L70" s="181">
        <v>0</v>
      </c>
      <c r="M70" s="76">
        <v>0</v>
      </c>
      <c r="N70" s="76">
        <f t="shared" si="39"/>
        <v>0</v>
      </c>
      <c r="O70" s="312" t="str">
        <f t="shared" si="43"/>
        <v>-</v>
      </c>
      <c r="P70" s="207"/>
      <c r="Q70" s="213"/>
      <c r="R70" s="130">
        <v>0</v>
      </c>
      <c r="S70" s="130">
        <f t="shared" si="38"/>
        <v>0</v>
      </c>
      <c r="T70" s="214" t="str">
        <f t="shared" si="44"/>
        <v>-</v>
      </c>
      <c r="U70" s="207"/>
      <c r="V70" s="181">
        <f t="shared" si="30"/>
        <v>0</v>
      </c>
      <c r="W70" s="76">
        <f t="shared" si="36"/>
        <v>0</v>
      </c>
      <c r="X70" s="76">
        <f t="shared" si="37"/>
        <v>0</v>
      </c>
      <c r="Y70" s="312" t="str">
        <f t="shared" si="31"/>
        <v>-</v>
      </c>
      <c r="Z70" s="207"/>
      <c r="AA70" s="181">
        <v>0</v>
      </c>
      <c r="AB70" s="76">
        <f t="shared" si="40"/>
        <v>0</v>
      </c>
      <c r="AC70" s="312" t="str">
        <f t="shared" si="33"/>
        <v>-</v>
      </c>
      <c r="AD70" s="165"/>
      <c r="AE70" s="77"/>
    </row>
    <row r="71" spans="1:31" ht="15.75" x14ac:dyDescent="0.25">
      <c r="A71" s="145" t="s">
        <v>75</v>
      </c>
      <c r="B71" s="181">
        <v>72499.98</v>
      </c>
      <c r="C71" s="76">
        <v>17679.95</v>
      </c>
      <c r="D71" s="76">
        <f t="shared" si="42"/>
        <v>54820.03</v>
      </c>
      <c r="E71" s="312">
        <f t="shared" si="26"/>
        <v>0.756138553417532</v>
      </c>
      <c r="F71" s="205"/>
      <c r="G71" s="213">
        <v>72499</v>
      </c>
      <c r="H71" s="130">
        <v>3722.16</v>
      </c>
      <c r="I71" s="130">
        <f t="shared" si="41"/>
        <v>68776.84</v>
      </c>
      <c r="J71" s="313">
        <f t="shared" si="27"/>
        <v>0.9486591539193644</v>
      </c>
      <c r="K71" s="205"/>
      <c r="L71" s="181">
        <v>0</v>
      </c>
      <c r="M71" s="76">
        <v>0</v>
      </c>
      <c r="N71" s="76">
        <f t="shared" si="39"/>
        <v>0</v>
      </c>
      <c r="O71" s="312" t="str">
        <f t="shared" si="43"/>
        <v>-</v>
      </c>
      <c r="P71" s="205"/>
      <c r="Q71" s="213"/>
      <c r="R71" s="130">
        <v>0</v>
      </c>
      <c r="S71" s="130">
        <f t="shared" si="38"/>
        <v>0</v>
      </c>
      <c r="T71" s="220" t="str">
        <f t="shared" si="44"/>
        <v>-</v>
      </c>
      <c r="U71" s="205"/>
      <c r="V71" s="181">
        <f t="shared" si="30"/>
        <v>144998.97999999998</v>
      </c>
      <c r="W71" s="76">
        <f t="shared" si="36"/>
        <v>21402.11</v>
      </c>
      <c r="X71" s="76">
        <f t="shared" si="37"/>
        <v>123596.86999999998</v>
      </c>
      <c r="Y71" s="312">
        <f t="shared" si="31"/>
        <v>0.85239820307701475</v>
      </c>
      <c r="Z71" s="205"/>
      <c r="AA71" s="181">
        <v>289996.98</v>
      </c>
      <c r="AB71" s="76">
        <f t="shared" si="40"/>
        <v>268594.87</v>
      </c>
      <c r="AC71" s="312">
        <f t="shared" si="33"/>
        <v>0.9261988521397706</v>
      </c>
      <c r="AD71" s="163"/>
      <c r="AE71" s="78"/>
    </row>
    <row r="72" spans="1:31" ht="15.75" x14ac:dyDescent="0.25">
      <c r="A72" s="322" t="s">
        <v>76</v>
      </c>
      <c r="B72" s="250">
        <v>0</v>
      </c>
      <c r="D72" s="76">
        <f t="shared" si="42"/>
        <v>0</v>
      </c>
      <c r="E72" s="312" t="str">
        <f t="shared" si="26"/>
        <v>-</v>
      </c>
      <c r="F72" s="207"/>
      <c r="G72" s="213">
        <v>0</v>
      </c>
      <c r="H72" s="130">
        <v>0</v>
      </c>
      <c r="I72" s="130">
        <f t="shared" si="41"/>
        <v>0</v>
      </c>
      <c r="J72" s="313" t="str">
        <f t="shared" si="27"/>
        <v>-</v>
      </c>
      <c r="K72" s="207"/>
      <c r="L72" s="181">
        <v>0</v>
      </c>
      <c r="M72" s="76">
        <v>0</v>
      </c>
      <c r="N72" s="76">
        <f t="shared" si="39"/>
        <v>0</v>
      </c>
      <c r="O72" s="312" t="str">
        <f t="shared" si="43"/>
        <v>-</v>
      </c>
      <c r="P72" s="207"/>
      <c r="Q72" s="213"/>
      <c r="R72" s="130">
        <v>0</v>
      </c>
      <c r="S72" s="130">
        <f t="shared" si="38"/>
        <v>0</v>
      </c>
      <c r="T72" s="220" t="str">
        <f t="shared" si="44"/>
        <v>-</v>
      </c>
      <c r="U72" s="207"/>
      <c r="V72" s="181">
        <f>B72+G72+L72+Q72</f>
        <v>0</v>
      </c>
      <c r="W72" s="76">
        <v>224392</v>
      </c>
      <c r="X72" s="76">
        <f t="shared" si="37"/>
        <v>-224392</v>
      </c>
      <c r="Y72" s="312" t="str">
        <f t="shared" si="31"/>
        <v>-</v>
      </c>
      <c r="Z72" s="207"/>
      <c r="AA72" s="181">
        <v>0</v>
      </c>
      <c r="AB72" s="76">
        <f t="shared" si="40"/>
        <v>-224392</v>
      </c>
      <c r="AC72" s="312" t="str">
        <f t="shared" si="33"/>
        <v>-</v>
      </c>
      <c r="AD72" s="165"/>
      <c r="AE72" s="78"/>
    </row>
    <row r="73" spans="1:31" ht="15.75" x14ac:dyDescent="0.25">
      <c r="A73" s="322" t="s">
        <v>77</v>
      </c>
      <c r="B73" s="250">
        <v>334181.01</v>
      </c>
      <c r="C73" s="76">
        <v>224391.51</v>
      </c>
      <c r="D73" s="76">
        <f t="shared" si="42"/>
        <v>109789.5</v>
      </c>
      <c r="E73" s="312">
        <f t="shared" si="26"/>
        <v>0.32853303064707357</v>
      </c>
      <c r="F73" s="205"/>
      <c r="G73" s="213">
        <v>334181</v>
      </c>
      <c r="H73" s="130">
        <f>38274.59+88700.15+150779.25</f>
        <v>277753.99</v>
      </c>
      <c r="I73" s="130">
        <f t="shared" si="41"/>
        <v>56427.010000000009</v>
      </c>
      <c r="J73" s="313">
        <f t="shared" si="27"/>
        <v>0.16885164027877111</v>
      </c>
      <c r="K73" s="205"/>
      <c r="L73" s="181">
        <v>0</v>
      </c>
      <c r="M73" s="76">
        <v>0</v>
      </c>
      <c r="N73" s="76">
        <f t="shared" si="39"/>
        <v>0</v>
      </c>
      <c r="O73" s="312" t="str">
        <f t="shared" si="43"/>
        <v>-</v>
      </c>
      <c r="P73" s="205"/>
      <c r="Q73" s="213"/>
      <c r="R73" s="130">
        <v>0</v>
      </c>
      <c r="S73" s="130">
        <f t="shared" si="38"/>
        <v>0</v>
      </c>
      <c r="T73" s="220" t="str">
        <f t="shared" si="44"/>
        <v>-</v>
      </c>
      <c r="U73" s="205"/>
      <c r="V73" s="181">
        <f>B73+G73+L73+Q73</f>
        <v>668362.01</v>
      </c>
      <c r="W73" s="76">
        <v>611935</v>
      </c>
      <c r="X73" s="76">
        <f t="shared" si="37"/>
        <v>56427.010000000009</v>
      </c>
      <c r="Y73" s="312">
        <f t="shared" si="31"/>
        <v>8.4425818876210521E-2</v>
      </c>
      <c r="Z73" s="205"/>
      <c r="AA73" s="181">
        <v>1336724.01</v>
      </c>
      <c r="AB73" s="76">
        <f t="shared" si="40"/>
        <v>724789.01</v>
      </c>
      <c r="AC73" s="312">
        <f t="shared" si="33"/>
        <v>0.5422129060134111</v>
      </c>
      <c r="AD73" s="163"/>
      <c r="AE73" s="78"/>
    </row>
    <row r="74" spans="1:31" ht="15.75" x14ac:dyDescent="0.25">
      <c r="A74" s="322" t="s">
        <v>160</v>
      </c>
      <c r="B74" s="250">
        <v>0</v>
      </c>
      <c r="C74" s="76">
        <v>0</v>
      </c>
      <c r="D74" s="76">
        <f t="shared" si="42"/>
        <v>0</v>
      </c>
      <c r="E74" s="312" t="str">
        <f t="shared" si="26"/>
        <v>-</v>
      </c>
      <c r="F74" s="207"/>
      <c r="G74" s="213">
        <v>0</v>
      </c>
      <c r="H74" s="130">
        <v>0</v>
      </c>
      <c r="I74" s="130">
        <f t="shared" si="41"/>
        <v>0</v>
      </c>
      <c r="J74" s="313" t="str">
        <f t="shared" si="27"/>
        <v>-</v>
      </c>
      <c r="K74" s="207"/>
      <c r="L74" s="181">
        <v>0</v>
      </c>
      <c r="M74" s="76">
        <v>0</v>
      </c>
      <c r="N74" s="76">
        <f t="shared" si="39"/>
        <v>0</v>
      </c>
      <c r="O74" s="312"/>
      <c r="P74" s="207"/>
      <c r="Q74" s="213">
        <f>L74</f>
        <v>0</v>
      </c>
      <c r="R74" s="130">
        <v>0</v>
      </c>
      <c r="S74" s="130">
        <f t="shared" si="38"/>
        <v>0</v>
      </c>
      <c r="T74" s="220"/>
      <c r="U74" s="207"/>
      <c r="V74" s="181">
        <f>B74+G74+L74+Q74</f>
        <v>0</v>
      </c>
      <c r="W74" s="76">
        <f>C74+H74+M74+R74</f>
        <v>0</v>
      </c>
      <c r="X74" s="76">
        <f t="shared" si="37"/>
        <v>0</v>
      </c>
      <c r="Y74" s="312" t="str">
        <f t="shared" si="31"/>
        <v>-</v>
      </c>
      <c r="Z74" s="207"/>
      <c r="AA74" s="181">
        <v>0</v>
      </c>
      <c r="AB74" s="76">
        <f t="shared" si="40"/>
        <v>0</v>
      </c>
      <c r="AC74" s="312" t="str">
        <f t="shared" si="33"/>
        <v>-</v>
      </c>
      <c r="AD74" s="165"/>
      <c r="AE74" s="77"/>
    </row>
    <row r="75" spans="1:31" ht="15.75" x14ac:dyDescent="0.25">
      <c r="A75" s="253"/>
      <c r="B75" s="187"/>
      <c r="C75" s="79"/>
      <c r="D75" s="79">
        <f t="shared" si="42"/>
        <v>0</v>
      </c>
      <c r="E75" s="320" t="str">
        <f>IF(ISERROR(D75/B75),"-",D75/B75)</f>
        <v>-</v>
      </c>
      <c r="F75" s="205"/>
      <c r="G75" s="221"/>
      <c r="H75" s="133"/>
      <c r="I75" s="133">
        <f t="shared" si="41"/>
        <v>0</v>
      </c>
      <c r="J75" s="321" t="str">
        <f t="shared" si="27"/>
        <v>-</v>
      </c>
      <c r="K75" s="205"/>
      <c r="L75" s="187"/>
      <c r="M75" s="79"/>
      <c r="N75" s="79"/>
      <c r="O75" s="320"/>
      <c r="P75" s="205"/>
      <c r="Q75" s="221"/>
      <c r="R75" s="133"/>
      <c r="S75" s="133"/>
      <c r="T75" s="222"/>
      <c r="U75" s="205"/>
      <c r="V75" s="187">
        <f>B75+G75+L75+Q75</f>
        <v>0</v>
      </c>
      <c r="W75" s="79">
        <f>C75+H75+M75+R75</f>
        <v>0</v>
      </c>
      <c r="X75" s="79">
        <f t="shared" ref="X75" si="45">V75-W75</f>
        <v>0</v>
      </c>
      <c r="Y75" s="320" t="str">
        <f t="shared" si="31"/>
        <v>-</v>
      </c>
      <c r="Z75" s="205"/>
      <c r="AA75" s="187">
        <v>0</v>
      </c>
      <c r="AB75" s="79">
        <f t="shared" si="40"/>
        <v>0</v>
      </c>
      <c r="AC75" s="320" t="str">
        <f t="shared" si="33"/>
        <v>-</v>
      </c>
      <c r="AD75" s="163"/>
      <c r="AE75" s="77"/>
    </row>
    <row r="76" spans="1:31" ht="15.75" x14ac:dyDescent="0.25">
      <c r="A76" s="146" t="s">
        <v>79</v>
      </c>
      <c r="B76" s="177">
        <f>SUM(B42:B74)</f>
        <v>2197442.8499999996</v>
      </c>
      <c r="C76" s="110">
        <f>SUM(C42:C74)</f>
        <v>1830151.09</v>
      </c>
      <c r="D76" s="110">
        <f>SUM(D42:D74)</f>
        <v>367291.75999999995</v>
      </c>
      <c r="E76" s="316">
        <f>IF(ISERROR(D76/B76),"-",D76/B76)</f>
        <v>0.16714507956373018</v>
      </c>
      <c r="F76" s="206"/>
      <c r="G76" s="177">
        <f>SUM(G42:G74)</f>
        <v>2197440.96</v>
      </c>
      <c r="H76" s="110">
        <f>SUM(H42:H74)</f>
        <v>1695122.31</v>
      </c>
      <c r="I76" s="110">
        <f>SUM(I42:I74)</f>
        <v>502318.65</v>
      </c>
      <c r="J76" s="316">
        <f t="shared" si="27"/>
        <v>0.22859255795432157</v>
      </c>
      <c r="K76" s="206"/>
      <c r="L76" s="177">
        <f>SUM(L42:L74)</f>
        <v>0</v>
      </c>
      <c r="M76" s="110">
        <f>SUM(M42:M74)</f>
        <v>0</v>
      </c>
      <c r="N76" s="110">
        <f>SUM(N42:N74)</f>
        <v>0</v>
      </c>
      <c r="O76" s="316" t="str">
        <f>IF(ISERROR(N76/L76),"-",N76/L76)</f>
        <v>-</v>
      </c>
      <c r="P76" s="206"/>
      <c r="Q76" s="177">
        <f>SUM(Q42:Q74)</f>
        <v>0</v>
      </c>
      <c r="R76" s="110">
        <f>SUM(R42:R74)</f>
        <v>0</v>
      </c>
      <c r="S76" s="110">
        <f>SUM(S42:S74)</f>
        <v>0</v>
      </c>
      <c r="T76" s="178" t="str">
        <f>IF(ISERROR(S76/Q76),"-",S76/Q76)</f>
        <v>-</v>
      </c>
      <c r="U76" s="206"/>
      <c r="V76" s="177">
        <f>SUM(V42:V74)</f>
        <v>4394883.8099999996</v>
      </c>
      <c r="W76" s="110">
        <f>SUM(W42:W74)</f>
        <v>3859454.9000000004</v>
      </c>
      <c r="X76" s="110">
        <f>SUM(X42:X74)</f>
        <v>535428.91000000015</v>
      </c>
      <c r="Y76" s="316">
        <f t="shared" si="31"/>
        <v>0.12183004901783745</v>
      </c>
      <c r="Z76" s="206"/>
      <c r="AA76" s="177">
        <f>SUM(AA42:AA75)</f>
        <v>9499765.7300000004</v>
      </c>
      <c r="AB76" s="110">
        <f>SUM(AB42:AB75)</f>
        <v>5640310.8300000001</v>
      </c>
      <c r="AC76" s="316">
        <f t="shared" si="33"/>
        <v>0.59373157089422246</v>
      </c>
      <c r="AD76" s="164"/>
      <c r="AE76" s="80"/>
    </row>
    <row r="77" spans="1:31" ht="15.75" x14ac:dyDescent="0.25">
      <c r="A77" s="154"/>
      <c r="B77" s="191"/>
      <c r="C77" s="91"/>
      <c r="D77" s="91"/>
      <c r="E77" s="318"/>
      <c r="F77" s="203"/>
      <c r="G77" s="228"/>
      <c r="H77" s="136"/>
      <c r="I77" s="136"/>
      <c r="J77" s="319"/>
      <c r="K77" s="203"/>
      <c r="L77" s="191"/>
      <c r="M77" s="91"/>
      <c r="N77" s="91"/>
      <c r="O77" s="318"/>
      <c r="P77" s="203"/>
      <c r="Q77" s="228"/>
      <c r="R77" s="136"/>
      <c r="S77" s="136"/>
      <c r="T77" s="238"/>
      <c r="U77" s="203"/>
      <c r="V77" s="241"/>
      <c r="W77" s="92"/>
      <c r="X77" s="91"/>
      <c r="Y77" s="318"/>
      <c r="Z77" s="203"/>
      <c r="AA77" s="241"/>
      <c r="AB77" s="91"/>
      <c r="AC77" s="318"/>
      <c r="AD77" s="161"/>
      <c r="AE77" s="77"/>
    </row>
    <row r="78" spans="1:31" ht="15.75" x14ac:dyDescent="0.25">
      <c r="A78" s="146" t="s">
        <v>80</v>
      </c>
      <c r="B78" s="177">
        <f>B40+B76+B77</f>
        <v>8208384.2199999997</v>
      </c>
      <c r="C78" s="110">
        <f>C40+C76+C77</f>
        <v>7372744.1099999994</v>
      </c>
      <c r="D78" s="110">
        <f>D40+D76+D77</f>
        <v>835640.10999999964</v>
      </c>
      <c r="E78" s="316">
        <f>IF(ISERROR(D78/B78),"-",D78/B78)</f>
        <v>0.10180324015095868</v>
      </c>
      <c r="F78" s="207"/>
      <c r="G78" s="177">
        <f>G40+G76+G77</f>
        <v>8061382.3300000001</v>
      </c>
      <c r="H78" s="110">
        <f>H40+H76+H77</f>
        <v>7111527.9000000004</v>
      </c>
      <c r="I78" s="110">
        <f>I40+I76+I77</f>
        <v>949854.43000000017</v>
      </c>
      <c r="J78" s="316">
        <f>IF(ISERROR(I78/G78),"-",I78/G78)</f>
        <v>0.11782773612723565</v>
      </c>
      <c r="K78" s="207"/>
      <c r="L78" s="177">
        <f>L40+L76+L77</f>
        <v>0</v>
      </c>
      <c r="M78" s="110">
        <f>M40+M76+M77</f>
        <v>0</v>
      </c>
      <c r="N78" s="110">
        <f>N40+N76+N77</f>
        <v>0</v>
      </c>
      <c r="O78" s="316" t="str">
        <f>IF(ISERROR(N78/L78),"-",N78/L78)</f>
        <v>-</v>
      </c>
      <c r="P78" s="207"/>
      <c r="Q78" s="177">
        <f>Q40+Q76+Q77</f>
        <v>0</v>
      </c>
      <c r="R78" s="110">
        <f>R40+R76+R77</f>
        <v>0</v>
      </c>
      <c r="S78" s="110">
        <f>S40+S76+S77</f>
        <v>0</v>
      </c>
      <c r="T78" s="178" t="str">
        <f>IF(ISERROR(S78/Q78),"-",S78/Q78)</f>
        <v>-</v>
      </c>
      <c r="U78" s="207"/>
      <c r="V78" s="177">
        <f>V40+V76+V77</f>
        <v>16269766.550000001</v>
      </c>
      <c r="W78" s="110">
        <f>W40+W76+W77</f>
        <v>14818453.510000002</v>
      </c>
      <c r="X78" s="110">
        <f>X40+X76+X77</f>
        <v>1451313.04</v>
      </c>
      <c r="Y78" s="316">
        <f>IF(ISERROR(X78/V78),"-",X78/V78)</f>
        <v>8.9203064809802085E-2</v>
      </c>
      <c r="Z78" s="207"/>
      <c r="AA78" s="177">
        <f>AA40+AA76+AA77</f>
        <v>33040531.210000001</v>
      </c>
      <c r="AB78" s="110">
        <f>AB40+AB76+AB77</f>
        <v>18222077.699999999</v>
      </c>
      <c r="AC78" s="316">
        <f>IF(ISERROR(AB78/AA78),"-",AB78/AA78)</f>
        <v>0.55150680187868562</v>
      </c>
      <c r="AD78" s="165"/>
      <c r="AE78" s="80"/>
    </row>
    <row r="79" spans="1:31" ht="15.75" x14ac:dyDescent="0.25">
      <c r="A79" s="155"/>
      <c r="B79" s="191"/>
      <c r="C79" s="91"/>
      <c r="D79" s="91"/>
      <c r="E79" s="318"/>
      <c r="F79" s="203"/>
      <c r="G79" s="228"/>
      <c r="H79" s="136"/>
      <c r="I79" s="136"/>
      <c r="J79" s="319"/>
      <c r="K79" s="203"/>
      <c r="L79" s="191"/>
      <c r="M79" s="91"/>
      <c r="N79" s="91"/>
      <c r="O79" s="318"/>
      <c r="P79" s="203"/>
      <c r="Q79" s="228"/>
      <c r="R79" s="136"/>
      <c r="S79" s="136"/>
      <c r="T79" s="229"/>
      <c r="U79" s="203"/>
      <c r="V79" s="241"/>
      <c r="W79" s="92"/>
      <c r="X79" s="91"/>
      <c r="Y79" s="318"/>
      <c r="Z79" s="203"/>
      <c r="AA79" s="241"/>
      <c r="AB79" s="91"/>
      <c r="AC79" s="318"/>
      <c r="AD79" s="161"/>
      <c r="AE79" s="77"/>
    </row>
    <row r="80" spans="1:31" ht="15.75" x14ac:dyDescent="0.25">
      <c r="A80" s="146" t="s">
        <v>81</v>
      </c>
      <c r="B80" s="177">
        <f>B27-B78</f>
        <v>-225475.95999999996</v>
      </c>
      <c r="C80" s="110">
        <f>C27-C78</f>
        <v>418057.97000000067</v>
      </c>
      <c r="D80" s="110">
        <f>D27+D78</f>
        <v>643533.93000000005</v>
      </c>
      <c r="E80" s="316">
        <f>IF(ISERROR(D80/B80),"-",D80/B80)</f>
        <v>-2.8541132722087097</v>
      </c>
      <c r="F80" s="207"/>
      <c r="G80" s="177">
        <f>G27-G78</f>
        <v>-78474.299999999814</v>
      </c>
      <c r="H80" s="110">
        <f>H27-H78</f>
        <v>1029610.959999999</v>
      </c>
      <c r="I80" s="110">
        <f>I27+I78</f>
        <v>1108085.2599999993</v>
      </c>
      <c r="J80" s="316">
        <f>IF(ISERROR(I80/G80),"-",I80/G80)</f>
        <v>-14.120358639707547</v>
      </c>
      <c r="K80" s="207"/>
      <c r="L80" s="177">
        <f>L27-L78</f>
        <v>0</v>
      </c>
      <c r="M80" s="110">
        <f>M27-M78</f>
        <v>0</v>
      </c>
      <c r="N80" s="110">
        <f>N27+N78</f>
        <v>0</v>
      </c>
      <c r="O80" s="316" t="str">
        <f>IF(ISERROR(N80/L80),"-",N80/L80)</f>
        <v>-</v>
      </c>
      <c r="P80" s="207"/>
      <c r="Q80" s="177">
        <f>Q27-Q78</f>
        <v>0</v>
      </c>
      <c r="R80" s="110">
        <f>R27-R78</f>
        <v>0</v>
      </c>
      <c r="S80" s="110">
        <f>S27+S78</f>
        <v>0</v>
      </c>
      <c r="T80" s="178" t="str">
        <f>IF(ISERROR(S80/Q80),"-",S80/Q80)</f>
        <v>-</v>
      </c>
      <c r="U80" s="207"/>
      <c r="V80" s="242">
        <f>V27-V78</f>
        <v>-303950.25999999978</v>
      </c>
      <c r="W80" s="109">
        <f>W27-W78</f>
        <v>1113487.4299999997</v>
      </c>
      <c r="X80" s="109">
        <f>X27+X78</f>
        <v>1417437.6900000002</v>
      </c>
      <c r="Y80" s="317">
        <f>IF(ISERROR(X80/V80),"-",X80/V80)</f>
        <v>-4.6633869962802503</v>
      </c>
      <c r="Z80" s="207"/>
      <c r="AA80" s="177">
        <f>AA27-AA78</f>
        <v>-1108898.8599999994</v>
      </c>
      <c r="AB80" s="110">
        <f>AB27-AB78</f>
        <v>-2222386.2899999991</v>
      </c>
      <c r="AC80" s="316">
        <f>IF(ISERROR(AB80/AA80),"-",AB80/AA80)</f>
        <v>2.0041379517695601</v>
      </c>
      <c r="AD80" s="165"/>
      <c r="AE80" s="80"/>
    </row>
    <row r="81" spans="1:31" ht="15.75" x14ac:dyDescent="0.25">
      <c r="A81" s="156"/>
      <c r="B81" s="193"/>
      <c r="C81" s="93"/>
      <c r="D81" s="94"/>
      <c r="E81" s="314"/>
      <c r="F81" s="111"/>
      <c r="G81" s="230"/>
      <c r="H81" s="137"/>
      <c r="I81" s="138"/>
      <c r="J81" s="315"/>
      <c r="K81" s="111"/>
      <c r="L81" s="193"/>
      <c r="M81" s="93"/>
      <c r="N81" s="94"/>
      <c r="O81" s="314"/>
      <c r="P81" s="111"/>
      <c r="Q81" s="230"/>
      <c r="R81" s="137"/>
      <c r="S81" s="138"/>
      <c r="T81" s="231"/>
      <c r="U81" s="111"/>
      <c r="V81" s="179"/>
      <c r="W81" s="81"/>
      <c r="X81" s="94"/>
      <c r="Y81" s="314"/>
      <c r="Z81" s="111"/>
      <c r="AA81" s="179"/>
      <c r="AB81" s="94"/>
      <c r="AC81" s="314"/>
      <c r="AD81" s="166"/>
      <c r="AE81" s="77"/>
    </row>
    <row r="82" spans="1:31" ht="15.75" x14ac:dyDescent="0.25">
      <c r="A82" s="148" t="s">
        <v>82</v>
      </c>
      <c r="B82" s="181"/>
      <c r="C82" s="76"/>
      <c r="D82" s="76">
        <f>B82-C82</f>
        <v>0</v>
      </c>
      <c r="E82" s="312" t="str">
        <f>IF(ISERROR(D82/B82),"-",D82/B82)</f>
        <v>-</v>
      </c>
      <c r="F82" s="207"/>
      <c r="G82" s="213"/>
      <c r="H82" s="130"/>
      <c r="I82" s="130">
        <f>G82-H82</f>
        <v>0</v>
      </c>
      <c r="J82" s="313" t="str">
        <f>IF(ISERROR(I82/G82),"-",I82/G82)</f>
        <v>-</v>
      </c>
      <c r="K82" s="207"/>
      <c r="L82" s="181"/>
      <c r="M82" s="76"/>
      <c r="N82" s="76">
        <f>L82-M82</f>
        <v>0</v>
      </c>
      <c r="O82" s="312" t="str">
        <f>IF(ISERROR(N82/L82),"-",N82/L82)</f>
        <v>-</v>
      </c>
      <c r="P82" s="207"/>
      <c r="Q82" s="213"/>
      <c r="R82" s="130"/>
      <c r="S82" s="130">
        <f>Q82-R82</f>
        <v>0</v>
      </c>
      <c r="T82" s="214" t="str">
        <f>IF(ISERROR(S82/Q82),"-",S82/Q82)</f>
        <v>-</v>
      </c>
      <c r="U82" s="207"/>
      <c r="V82" s="181">
        <f>B82+G82+L82+Q82</f>
        <v>0</v>
      </c>
      <c r="W82" s="76">
        <f>C82+H82+M82+R82</f>
        <v>0</v>
      </c>
      <c r="X82" s="76">
        <f>V82-W82</f>
        <v>0</v>
      </c>
      <c r="Y82" s="312" t="str">
        <f>IF(ISERROR(X82/V82),"-",X82/V82)</f>
        <v>-</v>
      </c>
      <c r="Z82" s="207"/>
      <c r="AA82" s="181">
        <f>G82+L82+Q82+V82</f>
        <v>0</v>
      </c>
      <c r="AB82" s="76">
        <f>AA82-W82</f>
        <v>0</v>
      </c>
      <c r="AC82" s="312" t="str">
        <f>IF(ISERROR(AB82/AA82),"-",AB82/AA82)</f>
        <v>-</v>
      </c>
      <c r="AD82" s="165"/>
      <c r="AE82" s="77"/>
    </row>
    <row r="83" spans="1:31" ht="15.75" x14ac:dyDescent="0.25">
      <c r="A83" s="149"/>
      <c r="B83" s="195"/>
      <c r="C83" s="95"/>
      <c r="D83" s="95"/>
      <c r="E83" s="310"/>
      <c r="F83" s="111"/>
      <c r="G83" s="232"/>
      <c r="H83" s="139"/>
      <c r="I83" s="139"/>
      <c r="J83" s="311"/>
      <c r="K83" s="111"/>
      <c r="L83" s="195"/>
      <c r="M83" s="95"/>
      <c r="N83" s="95"/>
      <c r="O83" s="310"/>
      <c r="P83" s="111"/>
      <c r="Q83" s="232"/>
      <c r="R83" s="139"/>
      <c r="S83" s="139"/>
      <c r="T83" s="233"/>
      <c r="U83" s="111"/>
      <c r="V83" s="195"/>
      <c r="W83" s="95"/>
      <c r="X83" s="95"/>
      <c r="Y83" s="310"/>
      <c r="Z83" s="111"/>
      <c r="AA83" s="195"/>
      <c r="AB83" s="95"/>
      <c r="AC83" s="310"/>
      <c r="AD83" s="166"/>
      <c r="AE83" s="77"/>
    </row>
    <row r="84" spans="1:31" ht="16.5" thickBot="1" x14ac:dyDescent="0.3">
      <c r="A84" s="157" t="s">
        <v>83</v>
      </c>
      <c r="B84" s="197">
        <f>B80-B82</f>
        <v>-225475.95999999996</v>
      </c>
      <c r="C84" s="198">
        <f>C80-C82</f>
        <v>418057.97000000067</v>
      </c>
      <c r="D84" s="198">
        <f>D80+D82</f>
        <v>643533.93000000005</v>
      </c>
      <c r="E84" s="309">
        <f>IF(ISERROR(D84/B84),"-",D84/B84)</f>
        <v>-2.8541132722087097</v>
      </c>
      <c r="F84" s="208"/>
      <c r="G84" s="197">
        <f>G80-G82</f>
        <v>-78474.299999999814</v>
      </c>
      <c r="H84" s="198">
        <f>H80-H82</f>
        <v>1029610.959999999</v>
      </c>
      <c r="I84" s="198">
        <f>I80+I82</f>
        <v>1108085.2599999993</v>
      </c>
      <c r="J84" s="309">
        <f>IF(ISERROR(I84/G84),"-",I84/G84)</f>
        <v>-14.120358639707547</v>
      </c>
      <c r="K84" s="208"/>
      <c r="L84" s="197">
        <f>L80-L82</f>
        <v>0</v>
      </c>
      <c r="M84" s="198">
        <f>M80-M82</f>
        <v>0</v>
      </c>
      <c r="N84" s="198">
        <f>N80+N82</f>
        <v>0</v>
      </c>
      <c r="O84" s="309" t="str">
        <f>IF(ISERROR(N84/L84),"-",N84/L84)</f>
        <v>-</v>
      </c>
      <c r="P84" s="208"/>
      <c r="Q84" s="197">
        <f>Q80-Q82</f>
        <v>0</v>
      </c>
      <c r="R84" s="198">
        <f>R80-R82</f>
        <v>0</v>
      </c>
      <c r="S84" s="198">
        <f>S80+S82</f>
        <v>0</v>
      </c>
      <c r="T84" s="199" t="str">
        <f>IF(ISERROR(S84/Q84),"-",S84/Q84)</f>
        <v>-</v>
      </c>
      <c r="U84" s="208"/>
      <c r="V84" s="244">
        <f>V80-V82</f>
        <v>-303950.25999999978</v>
      </c>
      <c r="W84" s="245">
        <f>W80-W82</f>
        <v>1113487.4299999997</v>
      </c>
      <c r="X84" s="245">
        <f>X80+X82</f>
        <v>1417437.6900000002</v>
      </c>
      <c r="Y84" s="308">
        <f>IF(ISERROR(X84/V84),"-",X84/V84)</f>
        <v>-4.6633869962802503</v>
      </c>
      <c r="Z84" s="208"/>
      <c r="AA84" s="244">
        <f>AA80-AA82</f>
        <v>-1108898.8599999994</v>
      </c>
      <c r="AB84" s="245">
        <f>AA84-W84</f>
        <v>-2222386.2899999991</v>
      </c>
      <c r="AC84" s="308">
        <f>IF(ISERROR(AB84/AA84),"-",AB84/AA84)</f>
        <v>2.0041379517695601</v>
      </c>
      <c r="AD84" s="167"/>
      <c r="AE84" s="96"/>
    </row>
    <row r="86" spans="1:31" ht="16.5" thickBot="1" x14ac:dyDescent="0.3">
      <c r="B86" s="825">
        <v>-225476</v>
      </c>
      <c r="C86" s="826">
        <v>-2318454</v>
      </c>
      <c r="D86" s="826">
        <v>643534</v>
      </c>
      <c r="E86" s="827">
        <v>-2.85</v>
      </c>
      <c r="F86" s="828"/>
      <c r="G86" s="825">
        <v>-78474</v>
      </c>
      <c r="H86" s="826">
        <v>1029611</v>
      </c>
      <c r="I86" s="826">
        <v>1108085</v>
      </c>
    </row>
  </sheetData>
  <mergeCells count="19">
    <mergeCell ref="A7:H7"/>
    <mergeCell ref="A1:H1"/>
    <mergeCell ref="A3:H3"/>
    <mergeCell ref="A4:H4"/>
    <mergeCell ref="A5:H5"/>
    <mergeCell ref="A6:H6"/>
    <mergeCell ref="AE9:AE11"/>
    <mergeCell ref="D10:E10"/>
    <mergeCell ref="I10:J10"/>
    <mergeCell ref="N10:O10"/>
    <mergeCell ref="S10:T10"/>
    <mergeCell ref="X10:Y10"/>
    <mergeCell ref="AB10:AC10"/>
    <mergeCell ref="B9:E9"/>
    <mergeCell ref="G9:J9"/>
    <mergeCell ref="L9:O9"/>
    <mergeCell ref="Q9:T9"/>
    <mergeCell ref="V9:Y9"/>
    <mergeCell ref="AA9:AC9"/>
  </mergeCells>
  <conditionalFormatting sqref="E53">
    <cfRule type="cellIs" dxfId="4" priority="1" stopIfTrue="1" operator="equal">
      <formula>""""""</formula>
    </cfRule>
  </conditionalFormatting>
  <pageMargins left="0.7" right="0.7" top="0.75" bottom="0.75" header="0.3" footer="0.3"/>
  <pageSetup paperSize="17" scale="41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26B8308083D4439CF0B0293B4DE7CD" ma:contentTypeVersion="6" ma:contentTypeDescription="Create a new document." ma:contentTypeScope="" ma:versionID="1d78772851625a45df52661af6a522d4">
  <xsd:schema xmlns:xsd="http://www.w3.org/2001/XMLSchema" xmlns:xs="http://www.w3.org/2001/XMLSchema" xmlns:p="http://schemas.microsoft.com/office/2006/metadata/properties" xmlns:ns2="d2a9f456-f13f-49fc-bf85-e9cae37498ca" xmlns:ns3="7d9686e5-410a-4600-88bc-984bc520197c" targetNamespace="http://schemas.microsoft.com/office/2006/metadata/properties" ma:root="true" ma:fieldsID="c07ac81174718a0f9ffa94b9c5655e5a" ns2:_="" ns3:_="">
    <xsd:import namespace="d2a9f456-f13f-49fc-bf85-e9cae37498ca"/>
    <xsd:import namespace="7d9686e5-410a-4600-88bc-984bc52019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a9f456-f13f-49fc-bf85-e9cae37498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9686e5-410a-4600-88bc-984bc520197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3E1A51-7BA8-428C-ACB5-AA1CA36221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a9f456-f13f-49fc-bf85-e9cae37498ca"/>
    <ds:schemaRef ds:uri="7d9686e5-410a-4600-88bc-984bc52019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919241-E596-4279-867E-30626A555A1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DD6E099-A24C-499E-AF99-2C9860A237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</vt:i4>
      </vt:variant>
    </vt:vector>
  </HeadingPairs>
  <TitlesOfParts>
    <vt:vector size="23" baseType="lpstr">
      <vt:lpstr>Consolidated Income Statement</vt:lpstr>
      <vt:lpstr>Consolidated Financial Position</vt:lpstr>
      <vt:lpstr>AASPA Income Statement</vt:lpstr>
      <vt:lpstr>AASPA Financial Position</vt:lpstr>
      <vt:lpstr>PSPF Income Statement </vt:lpstr>
      <vt:lpstr>PSPF Financial Position</vt:lpstr>
      <vt:lpstr>ADB Income Statement</vt:lpstr>
      <vt:lpstr>ADB Financial Position</vt:lpstr>
      <vt:lpstr>HAA Income Statement</vt:lpstr>
      <vt:lpstr>HAA Financial Position</vt:lpstr>
      <vt:lpstr>ACC Income Statement</vt:lpstr>
      <vt:lpstr>ACC Financial Position</vt:lpstr>
      <vt:lpstr>ATB Income Statement</vt:lpstr>
      <vt:lpstr>ATB Financial Position </vt:lpstr>
      <vt:lpstr>AFSC Income Statement</vt:lpstr>
      <vt:lpstr>AFSC Financial Position</vt:lpstr>
      <vt:lpstr>ANT Income Statement</vt:lpstr>
      <vt:lpstr>ANT Financial Position</vt:lpstr>
      <vt:lpstr>PUC Financial Position</vt:lpstr>
      <vt:lpstr>WCA Income Statement</vt:lpstr>
      <vt:lpstr>WCA Financial Position</vt:lpstr>
      <vt:lpstr>'AASPA Financial Position'!Print_Area</vt:lpstr>
      <vt:lpstr>'Consolidated Financial Position'!Print_Area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GoA</dc:creator>
  <cp:keywords/>
  <dc:description/>
  <cp:lastModifiedBy>Marisa Harding Hodge</cp:lastModifiedBy>
  <cp:revision/>
  <dcterms:created xsi:type="dcterms:W3CDTF">2020-08-17T18:48:33Z</dcterms:created>
  <dcterms:modified xsi:type="dcterms:W3CDTF">2021-01-27T17:47:37Z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0x0101001826B8308083D4439CF0B0293B4DE7CD</vt:lpwstr>
  </property>
</Properties>
</file>